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EB3609BF-BF9C-42DA-99C0-74C171EA98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Tariffs'!$A$1:$AZ$109</definedName>
    <definedName name="_xlnm.Print_Titles" localSheetId="0">'Gynae Comparative Tariffs'!$A:$E,'Gynae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59" i="1" l="1"/>
  <c r="AT57" i="1"/>
  <c r="Y30" i="1" l="1"/>
  <c r="Y32" i="1"/>
  <c r="Z32" i="1" s="1"/>
  <c r="AA32" i="1" s="1"/>
  <c r="AB32" i="1" s="1"/>
  <c r="AC32" i="1" s="1"/>
  <c r="AD32" i="1" s="1"/>
  <c r="Y31" i="1"/>
  <c r="Z31" i="1" s="1"/>
  <c r="AA31" i="1" s="1"/>
  <c r="AB31" i="1" s="1"/>
  <c r="AC31" i="1" s="1"/>
  <c r="AD31" i="1" s="1"/>
  <c r="Y29" i="1"/>
  <c r="Z29" i="1" s="1"/>
  <c r="AA29" i="1" s="1"/>
  <c r="AB29" i="1" s="1"/>
  <c r="AC29" i="1" s="1"/>
  <c r="AD29" i="1" s="1"/>
  <c r="E27" i="1" l="1"/>
  <c r="D27" i="1" s="1"/>
  <c r="G27" i="1"/>
  <c r="H27" i="1"/>
  <c r="I27" i="1" s="1"/>
  <c r="R27" i="1"/>
  <c r="S27" i="1"/>
  <c r="T27" i="1"/>
  <c r="V27" i="1"/>
  <c r="X27" i="1"/>
  <c r="Y27" i="1" s="1"/>
  <c r="AF27" i="1"/>
  <c r="AG27" i="1"/>
  <c r="AH27" i="1"/>
  <c r="AI27" i="1"/>
  <c r="AK27" i="1"/>
  <c r="AM27" i="1"/>
  <c r="AO27" i="1"/>
  <c r="AN27" i="1" s="1"/>
  <c r="AP27" i="1" s="1"/>
  <c r="AR27" i="1"/>
  <c r="AS27" i="1"/>
  <c r="AT27" i="1"/>
  <c r="AV27" i="1"/>
  <c r="AX27" i="1"/>
  <c r="AZ27" i="1"/>
  <c r="AB27" i="1" l="1"/>
  <c r="AC27" i="1"/>
  <c r="AA27" i="1"/>
  <c r="AD27" i="1"/>
  <c r="M27" i="1"/>
  <c r="L27" i="1"/>
  <c r="P27" i="1"/>
  <c r="J27" i="1"/>
  <c r="N27" i="1"/>
  <c r="K27" i="1"/>
  <c r="O27" i="1"/>
  <c r="G52" i="2" l="1"/>
  <c r="F52" i="2"/>
  <c r="D52" i="2"/>
  <c r="C52" i="2"/>
  <c r="M43" i="2"/>
  <c r="M47" i="2" s="1"/>
  <c r="M42" i="2"/>
  <c r="K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L42" i="2" l="1"/>
  <c r="K47" i="2"/>
  <c r="L47" i="2"/>
  <c r="K43" i="2"/>
  <c r="L43" i="2"/>
  <c r="AZ17" i="1" l="1"/>
  <c r="K19" i="1" l="1"/>
  <c r="L19" i="1"/>
  <c r="K20" i="1"/>
  <c r="L20" i="1"/>
  <c r="K36" i="1" l="1"/>
  <c r="L36" i="1"/>
  <c r="K37" i="1"/>
  <c r="L37" i="1"/>
  <c r="K38" i="1"/>
  <c r="L38" i="1"/>
  <c r="K39" i="1"/>
  <c r="L39" i="1"/>
  <c r="K40" i="1"/>
  <c r="L40" i="1"/>
  <c r="K41" i="1"/>
  <c r="L41" i="1"/>
  <c r="K58" i="1"/>
  <c r="L58" i="1"/>
  <c r="K60" i="1"/>
  <c r="L60" i="1"/>
  <c r="AR57" i="1" l="1"/>
  <c r="AM59" i="1"/>
  <c r="AK59" i="1"/>
  <c r="AK57" i="1"/>
  <c r="AZ28" i="1"/>
  <c r="AZ16" i="1"/>
  <c r="AZ15" i="1"/>
  <c r="AZ14" i="1"/>
  <c r="AZ13" i="1"/>
  <c r="AZ12" i="1"/>
  <c r="AZ11" i="1"/>
  <c r="H28" i="1" l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G61" i="1" l="1"/>
  <c r="G12" i="1" l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21" i="1"/>
  <c r="I21" i="1"/>
  <c r="G22" i="1"/>
  <c r="I22" i="1"/>
  <c r="G23" i="1"/>
  <c r="I23" i="1"/>
  <c r="G24" i="1"/>
  <c r="I24" i="1"/>
  <c r="G25" i="1"/>
  <c r="I25" i="1"/>
  <c r="G26" i="1"/>
  <c r="I26" i="1"/>
  <c r="G28" i="1"/>
  <c r="I28" i="1"/>
  <c r="G11" i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F61" i="1"/>
  <c r="F60" i="1"/>
  <c r="G59" i="1"/>
  <c r="F59" i="1" s="1"/>
  <c r="F58" i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F41" i="1"/>
  <c r="F40" i="1"/>
  <c r="F39" i="1"/>
  <c r="F38" i="1"/>
  <c r="F37" i="1"/>
  <c r="F36" i="1"/>
  <c r="K23" i="1" l="1"/>
  <c r="L23" i="1"/>
  <c r="K25" i="1"/>
  <c r="L25" i="1"/>
  <c r="K17" i="1"/>
  <c r="L17" i="1"/>
  <c r="K15" i="1"/>
  <c r="L15" i="1"/>
  <c r="K26" i="1"/>
  <c r="L26" i="1"/>
  <c r="L24" i="1"/>
  <c r="K24" i="1"/>
  <c r="K22" i="1"/>
  <c r="L22" i="1"/>
  <c r="L18" i="1"/>
  <c r="K18" i="1"/>
  <c r="K16" i="1"/>
  <c r="L16" i="1"/>
  <c r="L14" i="1"/>
  <c r="K14" i="1"/>
  <c r="L12" i="1"/>
  <c r="K12" i="1"/>
  <c r="K28" i="1"/>
  <c r="L28" i="1"/>
  <c r="K21" i="1"/>
  <c r="L21" i="1"/>
  <c r="K13" i="1"/>
  <c r="L13" i="1"/>
  <c r="I72" i="1"/>
  <c r="R72" i="1"/>
  <c r="Q72" i="1" s="1"/>
  <c r="V72" i="1"/>
  <c r="X72" i="1" s="1"/>
  <c r="AF72" i="1"/>
  <c r="AE72" i="1" s="1"/>
  <c r="AK72" i="1"/>
  <c r="AJ72" i="1" s="1"/>
  <c r="AM72" i="1"/>
  <c r="AL72" i="1" s="1"/>
  <c r="AO72" i="1"/>
  <c r="AN72" i="1" s="1"/>
  <c r="AP72" i="1" s="1"/>
  <c r="AR72" i="1"/>
  <c r="AQ72" i="1" s="1"/>
  <c r="I73" i="1"/>
  <c r="R73" i="1"/>
  <c r="Q73" i="1" s="1"/>
  <c r="V73" i="1"/>
  <c r="X73" i="1" s="1"/>
  <c r="AF73" i="1"/>
  <c r="AE73" i="1" s="1"/>
  <c r="AK73" i="1"/>
  <c r="AJ73" i="1" s="1"/>
  <c r="AM73" i="1"/>
  <c r="AL73" i="1" s="1"/>
  <c r="AO73" i="1"/>
  <c r="AN73" i="1" s="1"/>
  <c r="AP73" i="1" s="1"/>
  <c r="AR73" i="1"/>
  <c r="AQ73" i="1" s="1"/>
  <c r="AS73" i="1" s="1"/>
  <c r="I74" i="1"/>
  <c r="R74" i="1"/>
  <c r="Q74" i="1" s="1"/>
  <c r="V74" i="1"/>
  <c r="X74" i="1" s="1"/>
  <c r="AF74" i="1"/>
  <c r="AE74" i="1" s="1"/>
  <c r="AK74" i="1"/>
  <c r="AJ74" i="1" s="1"/>
  <c r="AM74" i="1"/>
  <c r="AL74" i="1" s="1"/>
  <c r="AO74" i="1"/>
  <c r="AN74" i="1" s="1"/>
  <c r="AP74" i="1" s="1"/>
  <c r="AR74" i="1"/>
  <c r="AQ74" i="1" s="1"/>
  <c r="I75" i="1"/>
  <c r="R75" i="1"/>
  <c r="Q75" i="1" s="1"/>
  <c r="S75" i="1" s="1"/>
  <c r="V75" i="1"/>
  <c r="X75" i="1" s="1"/>
  <c r="AF75" i="1"/>
  <c r="AE75" i="1" s="1"/>
  <c r="AK75" i="1"/>
  <c r="AJ75" i="1" s="1"/>
  <c r="AM75" i="1"/>
  <c r="AL75" i="1" s="1"/>
  <c r="AO75" i="1"/>
  <c r="AN75" i="1" s="1"/>
  <c r="AP75" i="1" s="1"/>
  <c r="AR75" i="1"/>
  <c r="AQ75" i="1" s="1"/>
  <c r="I76" i="1"/>
  <c r="R76" i="1"/>
  <c r="Q76" i="1" s="1"/>
  <c r="V76" i="1"/>
  <c r="U76" i="1" s="1"/>
  <c r="AF76" i="1"/>
  <c r="AE76" i="1" s="1"/>
  <c r="AK76" i="1"/>
  <c r="AJ76" i="1" s="1"/>
  <c r="AM76" i="1"/>
  <c r="AL76" i="1" s="1"/>
  <c r="AO76" i="1"/>
  <c r="AN76" i="1" s="1"/>
  <c r="AP76" i="1" s="1"/>
  <c r="AR76" i="1"/>
  <c r="AQ76" i="1" s="1"/>
  <c r="I77" i="1"/>
  <c r="R77" i="1"/>
  <c r="Q77" i="1" s="1"/>
  <c r="V77" i="1"/>
  <c r="X77" i="1" s="1"/>
  <c r="AF77" i="1"/>
  <c r="AE77" i="1" s="1"/>
  <c r="AG77" i="1" s="1"/>
  <c r="AK77" i="1"/>
  <c r="AJ77" i="1" s="1"/>
  <c r="AM77" i="1"/>
  <c r="AL77" i="1" s="1"/>
  <c r="AO77" i="1"/>
  <c r="AN77" i="1" s="1"/>
  <c r="AP77" i="1" s="1"/>
  <c r="AR77" i="1"/>
  <c r="AQ77" i="1" s="1"/>
  <c r="AT77" i="1" s="1"/>
  <c r="I78" i="1"/>
  <c r="R78" i="1"/>
  <c r="Q78" i="1" s="1"/>
  <c r="V78" i="1"/>
  <c r="U78" i="1" s="1"/>
  <c r="AF78" i="1"/>
  <c r="AE78" i="1" s="1"/>
  <c r="AK78" i="1"/>
  <c r="AJ78" i="1" s="1"/>
  <c r="AM78" i="1"/>
  <c r="AL78" i="1" s="1"/>
  <c r="AO78" i="1"/>
  <c r="AN78" i="1" s="1"/>
  <c r="AP78" i="1" s="1"/>
  <c r="AR78" i="1"/>
  <c r="AQ78" i="1" s="1"/>
  <c r="I79" i="1"/>
  <c r="R79" i="1"/>
  <c r="Q79" i="1" s="1"/>
  <c r="T79" i="1" s="1"/>
  <c r="V79" i="1"/>
  <c r="U79" i="1" s="1"/>
  <c r="AF79" i="1"/>
  <c r="AE79" i="1" s="1"/>
  <c r="AI79" i="1" s="1"/>
  <c r="AK79" i="1"/>
  <c r="AJ79" i="1" s="1"/>
  <c r="AM79" i="1"/>
  <c r="AL79" i="1" s="1"/>
  <c r="AO79" i="1"/>
  <c r="AN79" i="1" s="1"/>
  <c r="AP79" i="1" s="1"/>
  <c r="AR79" i="1"/>
  <c r="AQ79" i="1" s="1"/>
  <c r="I80" i="1"/>
  <c r="R80" i="1"/>
  <c r="Q80" i="1" s="1"/>
  <c r="V80" i="1"/>
  <c r="U80" i="1" s="1"/>
  <c r="AF80" i="1"/>
  <c r="AE80" i="1" s="1"/>
  <c r="AK80" i="1"/>
  <c r="AJ80" i="1" s="1"/>
  <c r="AM80" i="1"/>
  <c r="AL80" i="1" s="1"/>
  <c r="AO80" i="1"/>
  <c r="AN80" i="1" s="1"/>
  <c r="AP80" i="1" s="1"/>
  <c r="AR80" i="1"/>
  <c r="AQ80" i="1" s="1"/>
  <c r="AX72" i="1"/>
  <c r="AW72" i="1" s="1"/>
  <c r="AZ72" i="1"/>
  <c r="AY72" i="1" s="1"/>
  <c r="AX73" i="1"/>
  <c r="AW73" i="1" s="1"/>
  <c r="AZ73" i="1"/>
  <c r="AY73" i="1" s="1"/>
  <c r="AX74" i="1"/>
  <c r="AW74" i="1" s="1"/>
  <c r="AZ74" i="1"/>
  <c r="AY74" i="1" s="1"/>
  <c r="AX75" i="1"/>
  <c r="AW75" i="1" s="1"/>
  <c r="AZ75" i="1"/>
  <c r="AY75" i="1" s="1"/>
  <c r="AX76" i="1"/>
  <c r="AW76" i="1" s="1"/>
  <c r="AZ76" i="1"/>
  <c r="AY76" i="1" s="1"/>
  <c r="AX77" i="1"/>
  <c r="AW77" i="1" s="1"/>
  <c r="AZ77" i="1"/>
  <c r="AY77" i="1" s="1"/>
  <c r="AX78" i="1"/>
  <c r="AW78" i="1" s="1"/>
  <c r="AZ78" i="1"/>
  <c r="AY78" i="1" s="1"/>
  <c r="AX79" i="1"/>
  <c r="AW79" i="1" s="1"/>
  <c r="AZ79" i="1"/>
  <c r="AY79" i="1" s="1"/>
  <c r="AX80" i="1"/>
  <c r="AW80" i="1" s="1"/>
  <c r="AZ80" i="1"/>
  <c r="AY80" i="1" s="1"/>
  <c r="AZ71" i="1"/>
  <c r="AY71" i="1" s="1"/>
  <c r="AX71" i="1"/>
  <c r="AW71" i="1" s="1"/>
  <c r="AR71" i="1"/>
  <c r="AQ71" i="1" s="1"/>
  <c r="AS71" i="1" s="1"/>
  <c r="AO71" i="1"/>
  <c r="AN71" i="1" s="1"/>
  <c r="AP71" i="1" s="1"/>
  <c r="AM71" i="1"/>
  <c r="AL71" i="1" s="1"/>
  <c r="AK71" i="1"/>
  <c r="AJ71" i="1" s="1"/>
  <c r="AF71" i="1"/>
  <c r="AE71" i="1" s="1"/>
  <c r="V71" i="1"/>
  <c r="U71" i="1" s="1"/>
  <c r="R71" i="1"/>
  <c r="Q71" i="1" s="1"/>
  <c r="I71" i="1"/>
  <c r="AV80" i="1"/>
  <c r="AV79" i="1"/>
  <c r="AV78" i="1"/>
  <c r="AV77" i="1"/>
  <c r="AV76" i="1"/>
  <c r="AV75" i="1"/>
  <c r="AV74" i="1"/>
  <c r="AV73" i="1"/>
  <c r="AV72" i="1"/>
  <c r="AV71" i="1"/>
  <c r="M71" i="1" l="1"/>
  <c r="K71" i="1"/>
  <c r="L71" i="1"/>
  <c r="M80" i="1"/>
  <c r="L80" i="1"/>
  <c r="K80" i="1"/>
  <c r="J79" i="1"/>
  <c r="K79" i="1"/>
  <c r="L79" i="1"/>
  <c r="H78" i="1"/>
  <c r="K78" i="1"/>
  <c r="L78" i="1"/>
  <c r="M77" i="1"/>
  <c r="K77" i="1"/>
  <c r="L77" i="1"/>
  <c r="M76" i="1"/>
  <c r="K76" i="1"/>
  <c r="L76" i="1"/>
  <c r="J75" i="1"/>
  <c r="K75" i="1"/>
  <c r="L75" i="1"/>
  <c r="M74" i="1"/>
  <c r="L74" i="1"/>
  <c r="K74" i="1"/>
  <c r="M73" i="1"/>
  <c r="K73" i="1"/>
  <c r="L73" i="1"/>
  <c r="M72" i="1"/>
  <c r="L72" i="1"/>
  <c r="K72" i="1"/>
  <c r="P78" i="1"/>
  <c r="O78" i="1"/>
  <c r="M78" i="1"/>
  <c r="P80" i="1"/>
  <c r="J80" i="1"/>
  <c r="J78" i="1"/>
  <c r="O73" i="1"/>
  <c r="U73" i="1"/>
  <c r="AH75" i="1"/>
  <c r="AG75" i="1"/>
  <c r="AG71" i="1"/>
  <c r="AH71" i="1"/>
  <c r="Z75" i="1"/>
  <c r="AC75" i="1"/>
  <c r="T73" i="1"/>
  <c r="S73" i="1"/>
  <c r="X79" i="1"/>
  <c r="AA79" i="1" s="1"/>
  <c r="J76" i="1"/>
  <c r="U75" i="1"/>
  <c r="P74" i="1"/>
  <c r="O74" i="1"/>
  <c r="N80" i="1"/>
  <c r="U77" i="1"/>
  <c r="P76" i="1"/>
  <c r="J74" i="1"/>
  <c r="P72" i="1"/>
  <c r="N76" i="1"/>
  <c r="AT79" i="1"/>
  <c r="AS79" i="1"/>
  <c r="AG73" i="1"/>
  <c r="AI73" i="1"/>
  <c r="AT75" i="1"/>
  <c r="AS75" i="1"/>
  <c r="T77" i="1"/>
  <c r="S77" i="1"/>
  <c r="N71" i="1"/>
  <c r="X80" i="1"/>
  <c r="Y80" i="1" s="1"/>
  <c r="O80" i="1"/>
  <c r="H80" i="1"/>
  <c r="O79" i="1"/>
  <c r="N78" i="1"/>
  <c r="X76" i="1"/>
  <c r="Z76" i="1" s="1"/>
  <c r="O76" i="1"/>
  <c r="H76" i="1"/>
  <c r="AA75" i="1"/>
  <c r="O75" i="1"/>
  <c r="N74" i="1"/>
  <c r="H74" i="1"/>
  <c r="N72" i="1"/>
  <c r="M79" i="1"/>
  <c r="O77" i="1"/>
  <c r="Y75" i="1"/>
  <c r="M75" i="1"/>
  <c r="J72" i="1"/>
  <c r="AT71" i="1"/>
  <c r="AG79" i="1"/>
  <c r="AB75" i="1"/>
  <c r="W75" i="1"/>
  <c r="O72" i="1"/>
  <c r="H72" i="1"/>
  <c r="AT72" i="1"/>
  <c r="AS72" i="1"/>
  <c r="Z72" i="1"/>
  <c r="AD72" i="1"/>
  <c r="W72" i="1"/>
  <c r="AA72" i="1"/>
  <c r="AB72" i="1"/>
  <c r="Y72" i="1"/>
  <c r="AC72" i="1"/>
  <c r="T78" i="1"/>
  <c r="S78" i="1"/>
  <c r="T74" i="1"/>
  <c r="S74" i="1"/>
  <c r="Y73" i="1"/>
  <c r="AC73" i="1"/>
  <c r="Z73" i="1"/>
  <c r="AD73" i="1"/>
  <c r="W73" i="1"/>
  <c r="AA73" i="1"/>
  <c r="AB73" i="1"/>
  <c r="S72" i="1"/>
  <c r="T72" i="1"/>
  <c r="AB74" i="1"/>
  <c r="Y74" i="1"/>
  <c r="AC74" i="1"/>
  <c r="Z74" i="1"/>
  <c r="AD74" i="1"/>
  <c r="W74" i="1"/>
  <c r="AA74" i="1"/>
  <c r="AI80" i="1"/>
  <c r="AG80" i="1"/>
  <c r="AH80" i="1"/>
  <c r="S80" i="1"/>
  <c r="T80" i="1"/>
  <c r="AI76" i="1"/>
  <c r="AG76" i="1"/>
  <c r="AH76" i="1"/>
  <c r="S76" i="1"/>
  <c r="T76" i="1"/>
  <c r="Y77" i="1"/>
  <c r="Z77" i="1"/>
  <c r="AD77" i="1"/>
  <c r="W77" i="1"/>
  <c r="AA77" i="1"/>
  <c r="AB77" i="1"/>
  <c r="AC77" i="1"/>
  <c r="AS80" i="1"/>
  <c r="AT80" i="1"/>
  <c r="AS78" i="1"/>
  <c r="AT78" i="1"/>
  <c r="AG78" i="1"/>
  <c r="AH78" i="1"/>
  <c r="AI78" i="1"/>
  <c r="AT76" i="1"/>
  <c r="AS76" i="1"/>
  <c r="AS74" i="1"/>
  <c r="AT74" i="1"/>
  <c r="AG74" i="1"/>
  <c r="AH74" i="1"/>
  <c r="AI74" i="1"/>
  <c r="AH72" i="1"/>
  <c r="AI72" i="1"/>
  <c r="AG72" i="1"/>
  <c r="S79" i="1"/>
  <c r="X78" i="1"/>
  <c r="AS77" i="1"/>
  <c r="AI75" i="1"/>
  <c r="AH79" i="1"/>
  <c r="N79" i="1"/>
  <c r="H79" i="1"/>
  <c r="P77" i="1"/>
  <c r="J77" i="1"/>
  <c r="AD75" i="1"/>
  <c r="N75" i="1"/>
  <c r="H75" i="1"/>
  <c r="P73" i="1"/>
  <c r="J73" i="1"/>
  <c r="U72" i="1"/>
  <c r="AI77" i="1"/>
  <c r="P79" i="1"/>
  <c r="AH77" i="1"/>
  <c r="N77" i="1"/>
  <c r="H77" i="1"/>
  <c r="T75" i="1"/>
  <c r="P75" i="1"/>
  <c r="U74" i="1"/>
  <c r="AT73" i="1"/>
  <c r="AH73" i="1"/>
  <c r="N73" i="1"/>
  <c r="H73" i="1"/>
  <c r="T71" i="1"/>
  <c r="S71" i="1"/>
  <c r="O71" i="1"/>
  <c r="AI71" i="1"/>
  <c r="J71" i="1"/>
  <c r="P71" i="1"/>
  <c r="X71" i="1"/>
  <c r="H71" i="1"/>
  <c r="AC80" i="1" l="1"/>
  <c r="W76" i="1"/>
  <c r="AA76" i="1"/>
  <c r="Y76" i="1"/>
  <c r="AC76" i="1"/>
  <c r="W80" i="1"/>
  <c r="Z80" i="1"/>
  <c r="W79" i="1"/>
  <c r="AD79" i="1"/>
  <c r="AA80" i="1"/>
  <c r="AB79" i="1"/>
  <c r="Y79" i="1"/>
  <c r="Z79" i="1"/>
  <c r="AC79" i="1"/>
  <c r="AD76" i="1"/>
  <c r="AB76" i="1"/>
  <c r="AD80" i="1"/>
  <c r="AB80" i="1"/>
  <c r="AB78" i="1"/>
  <c r="Y78" i="1"/>
  <c r="AC78" i="1"/>
  <c r="Z78" i="1"/>
  <c r="AD78" i="1"/>
  <c r="W78" i="1"/>
  <c r="AA78" i="1"/>
  <c r="AC71" i="1"/>
  <c r="Y71" i="1"/>
  <c r="AB71" i="1"/>
  <c r="W71" i="1"/>
  <c r="AD71" i="1"/>
  <c r="Z71" i="1"/>
  <c r="AA71" i="1"/>
  <c r="E60" i="1"/>
  <c r="E58" i="1"/>
  <c r="AZ66" i="1"/>
  <c r="AX66" i="1"/>
  <c r="AV66" i="1"/>
  <c r="AZ67" i="1"/>
  <c r="AY67" i="1" s="1"/>
  <c r="AX67" i="1"/>
  <c r="AW67" i="1" s="1"/>
  <c r="AV67" i="1"/>
  <c r="AV63" i="1"/>
  <c r="AX63" i="1"/>
  <c r="AW63" i="1" s="1"/>
  <c r="AZ63" i="1"/>
  <c r="AY63" i="1" s="1"/>
  <c r="AV64" i="1"/>
  <c r="AX64" i="1"/>
  <c r="AW64" i="1" s="1"/>
  <c r="AZ64" i="1"/>
  <c r="AY64" i="1" s="1"/>
  <c r="AV65" i="1"/>
  <c r="AX65" i="1"/>
  <c r="AW65" i="1" s="1"/>
  <c r="AZ65" i="1"/>
  <c r="AY65" i="1" s="1"/>
  <c r="AZ62" i="1"/>
  <c r="AX62" i="1"/>
  <c r="AV62" i="1"/>
  <c r="AZ61" i="1"/>
  <c r="AX61" i="1"/>
  <c r="AV61" i="1"/>
  <c r="AZ59" i="1"/>
  <c r="AY59" i="1" s="1"/>
  <c r="AX59" i="1"/>
  <c r="AW59" i="1" s="1"/>
  <c r="AV59" i="1"/>
  <c r="AU59" i="1" s="1"/>
  <c r="AV43" i="1"/>
  <c r="AU43" i="1" s="1"/>
  <c r="AX43" i="1"/>
  <c r="AW43" i="1" s="1"/>
  <c r="AZ43" i="1"/>
  <c r="AY43" i="1" s="1"/>
  <c r="AV44" i="1"/>
  <c r="AU44" i="1" s="1"/>
  <c r="AX44" i="1"/>
  <c r="AW44" i="1" s="1"/>
  <c r="AZ44" i="1"/>
  <c r="AY44" i="1" s="1"/>
  <c r="AV45" i="1"/>
  <c r="AU45" i="1" s="1"/>
  <c r="AX45" i="1"/>
  <c r="AW45" i="1" s="1"/>
  <c r="AZ45" i="1"/>
  <c r="AY45" i="1" s="1"/>
  <c r="AV46" i="1"/>
  <c r="AU46" i="1" s="1"/>
  <c r="AX46" i="1"/>
  <c r="AW46" i="1" s="1"/>
  <c r="AZ46" i="1"/>
  <c r="AY46" i="1" s="1"/>
  <c r="AV47" i="1"/>
  <c r="AU47" i="1" s="1"/>
  <c r="AX47" i="1"/>
  <c r="AW47" i="1" s="1"/>
  <c r="AZ47" i="1"/>
  <c r="AY47" i="1" s="1"/>
  <c r="AV48" i="1"/>
  <c r="AU48" i="1" s="1"/>
  <c r="AX48" i="1"/>
  <c r="AW48" i="1" s="1"/>
  <c r="AZ48" i="1"/>
  <c r="AY48" i="1" s="1"/>
  <c r="AV49" i="1"/>
  <c r="AU49" i="1" s="1"/>
  <c r="AX49" i="1"/>
  <c r="AW49" i="1" s="1"/>
  <c r="AZ49" i="1"/>
  <c r="AY49" i="1" s="1"/>
  <c r="AV50" i="1"/>
  <c r="AU50" i="1" s="1"/>
  <c r="AX50" i="1"/>
  <c r="AW50" i="1" s="1"/>
  <c r="AZ50" i="1"/>
  <c r="AY50" i="1" s="1"/>
  <c r="AV51" i="1"/>
  <c r="AU51" i="1" s="1"/>
  <c r="AX51" i="1"/>
  <c r="AW51" i="1" s="1"/>
  <c r="AZ51" i="1"/>
  <c r="AY51" i="1" s="1"/>
  <c r="AV52" i="1"/>
  <c r="AU52" i="1" s="1"/>
  <c r="AX52" i="1"/>
  <c r="AW52" i="1" s="1"/>
  <c r="AZ52" i="1"/>
  <c r="AY52" i="1" s="1"/>
  <c r="AV53" i="1"/>
  <c r="AU53" i="1" s="1"/>
  <c r="AX53" i="1"/>
  <c r="AW53" i="1" s="1"/>
  <c r="AZ53" i="1"/>
  <c r="AY53" i="1" s="1"/>
  <c r="AV54" i="1"/>
  <c r="AU54" i="1" s="1"/>
  <c r="AX54" i="1"/>
  <c r="AW54" i="1" s="1"/>
  <c r="AZ54" i="1"/>
  <c r="AY54" i="1" s="1"/>
  <c r="AV55" i="1"/>
  <c r="AU55" i="1" s="1"/>
  <c r="AX55" i="1"/>
  <c r="AW55" i="1" s="1"/>
  <c r="AZ55" i="1"/>
  <c r="AY55" i="1" s="1"/>
  <c r="AV56" i="1"/>
  <c r="AU56" i="1" s="1"/>
  <c r="AX56" i="1"/>
  <c r="AW56" i="1" s="1"/>
  <c r="AZ56" i="1"/>
  <c r="AY56" i="1" s="1"/>
  <c r="AV57" i="1"/>
  <c r="AU57" i="1" s="1"/>
  <c r="AX57" i="1"/>
  <c r="AW57" i="1" s="1"/>
  <c r="AZ57" i="1"/>
  <c r="AY57" i="1" s="1"/>
  <c r="AZ42" i="1"/>
  <c r="AY28" i="1"/>
  <c r="AZ18" i="1"/>
  <c r="AY18" i="1" s="1"/>
  <c r="AY13" i="1"/>
  <c r="AY14" i="1"/>
  <c r="AY15" i="1"/>
  <c r="AY11" i="1"/>
  <c r="AX42" i="1"/>
  <c r="AV42" i="1"/>
  <c r="AR66" i="1"/>
  <c r="AR63" i="1"/>
  <c r="AR64" i="1"/>
  <c r="AR65" i="1"/>
  <c r="AR67" i="1"/>
  <c r="AR62" i="1"/>
  <c r="AR61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42" i="1"/>
  <c r="AO66" i="1"/>
  <c r="AO67" i="1"/>
  <c r="AO65" i="1"/>
  <c r="AO64" i="1"/>
  <c r="AO63" i="1"/>
  <c r="AO62" i="1"/>
  <c r="AO61" i="1"/>
  <c r="AO59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42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8" i="1"/>
  <c r="AO11" i="1"/>
  <c r="AM66" i="1"/>
  <c r="AM67" i="1"/>
  <c r="AM65" i="1"/>
  <c r="AM64" i="1"/>
  <c r="AM63" i="1"/>
  <c r="AM62" i="1"/>
  <c r="AM61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42" i="1"/>
  <c r="AK66" i="1"/>
  <c r="AK67" i="1"/>
  <c r="AK65" i="1"/>
  <c r="AK64" i="1"/>
  <c r="AK63" i="1"/>
  <c r="AK62" i="1"/>
  <c r="AK61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42" i="1"/>
  <c r="AF66" i="1"/>
  <c r="AF67" i="1"/>
  <c r="AF65" i="1"/>
  <c r="AF64" i="1"/>
  <c r="AF63" i="1"/>
  <c r="AF62" i="1"/>
  <c r="AF61" i="1"/>
  <c r="AF59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42" i="1"/>
  <c r="V66" i="1"/>
  <c r="U66" i="1" s="1"/>
  <c r="V67" i="1"/>
  <c r="U67" i="1" s="1"/>
  <c r="V65" i="1"/>
  <c r="U65" i="1" s="1"/>
  <c r="V64" i="1"/>
  <c r="X64" i="1" s="1"/>
  <c r="W64" i="1" s="1"/>
  <c r="V63" i="1"/>
  <c r="X63" i="1" s="1"/>
  <c r="W63" i="1" s="1"/>
  <c r="V62" i="1"/>
  <c r="X62" i="1" s="1"/>
  <c r="W62" i="1" s="1"/>
  <c r="V61" i="1"/>
  <c r="X61" i="1" s="1"/>
  <c r="W61" i="1" s="1"/>
  <c r="V59" i="1"/>
  <c r="U59" i="1" s="1"/>
  <c r="V43" i="1"/>
  <c r="U43" i="1" s="1"/>
  <c r="V44" i="1"/>
  <c r="X44" i="1" s="1"/>
  <c r="W44" i="1" s="1"/>
  <c r="V45" i="1"/>
  <c r="X45" i="1" s="1"/>
  <c r="W45" i="1" s="1"/>
  <c r="V46" i="1"/>
  <c r="X46" i="1" s="1"/>
  <c r="W46" i="1" s="1"/>
  <c r="V47" i="1"/>
  <c r="X47" i="1" s="1"/>
  <c r="W47" i="1" s="1"/>
  <c r="V48" i="1"/>
  <c r="X48" i="1" s="1"/>
  <c r="W48" i="1" s="1"/>
  <c r="V49" i="1"/>
  <c r="X49" i="1" s="1"/>
  <c r="W49" i="1" s="1"/>
  <c r="V50" i="1"/>
  <c r="X50" i="1" s="1"/>
  <c r="W50" i="1" s="1"/>
  <c r="V51" i="1"/>
  <c r="U51" i="1" s="1"/>
  <c r="V52" i="1"/>
  <c r="X52" i="1" s="1"/>
  <c r="W52" i="1" s="1"/>
  <c r="V53" i="1"/>
  <c r="U53" i="1" s="1"/>
  <c r="V54" i="1"/>
  <c r="U54" i="1" s="1"/>
  <c r="V55" i="1"/>
  <c r="X55" i="1" s="1"/>
  <c r="W55" i="1" s="1"/>
  <c r="V56" i="1"/>
  <c r="U56" i="1" s="1"/>
  <c r="V57" i="1"/>
  <c r="X57" i="1" s="1"/>
  <c r="W57" i="1" s="1"/>
  <c r="V42" i="1"/>
  <c r="X42" i="1" s="1"/>
  <c r="W42" i="1" s="1"/>
  <c r="X43" i="1"/>
  <c r="W43" i="1" s="1"/>
  <c r="X37" i="1"/>
  <c r="W37" i="1" s="1"/>
  <c r="X38" i="1"/>
  <c r="W38" i="1" s="1"/>
  <c r="X39" i="1"/>
  <c r="W39" i="1" s="1"/>
  <c r="X40" i="1"/>
  <c r="W40" i="1" s="1"/>
  <c r="X41" i="1"/>
  <c r="W41" i="1" s="1"/>
  <c r="X58" i="1"/>
  <c r="W58" i="1" s="1"/>
  <c r="X60" i="1"/>
  <c r="W60" i="1" s="1"/>
  <c r="X36" i="1"/>
  <c r="W36" i="1" s="1"/>
  <c r="U37" i="1"/>
  <c r="U38" i="1"/>
  <c r="U39" i="1"/>
  <c r="U40" i="1"/>
  <c r="U41" i="1"/>
  <c r="U58" i="1"/>
  <c r="U60" i="1"/>
  <c r="U36" i="1"/>
  <c r="R66" i="1"/>
  <c r="R67" i="1"/>
  <c r="R65" i="1"/>
  <c r="R64" i="1"/>
  <c r="R63" i="1"/>
  <c r="R62" i="1"/>
  <c r="R61" i="1"/>
  <c r="R59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42" i="1"/>
  <c r="I66" i="1"/>
  <c r="I67" i="1"/>
  <c r="I65" i="1"/>
  <c r="I64" i="1"/>
  <c r="I63" i="1"/>
  <c r="I62" i="1"/>
  <c r="I61" i="1"/>
  <c r="I59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2" i="1"/>
  <c r="AY16" i="1"/>
  <c r="AY12" i="1"/>
  <c r="AY20" i="1"/>
  <c r="AY19" i="1"/>
  <c r="AM12" i="1"/>
  <c r="AM13" i="1"/>
  <c r="AM14" i="1"/>
  <c r="AM15" i="1"/>
  <c r="AM16" i="1"/>
  <c r="AM17" i="1"/>
  <c r="AM18" i="1"/>
  <c r="AM21" i="1"/>
  <c r="AM22" i="1"/>
  <c r="AM23" i="1"/>
  <c r="AM24" i="1"/>
  <c r="AM25" i="1"/>
  <c r="AM26" i="1"/>
  <c r="AM28" i="1"/>
  <c r="AM11" i="1"/>
  <c r="X56" i="1" l="1"/>
  <c r="W56" i="1" s="1"/>
  <c r="K51" i="1"/>
  <c r="L51" i="1"/>
  <c r="K66" i="1"/>
  <c r="L66" i="1"/>
  <c r="K42" i="1"/>
  <c r="L42" i="1"/>
  <c r="K54" i="1"/>
  <c r="L54" i="1"/>
  <c r="K50" i="1"/>
  <c r="L50" i="1"/>
  <c r="K46" i="1"/>
  <c r="L46" i="1"/>
  <c r="L59" i="1"/>
  <c r="K59" i="1"/>
  <c r="K64" i="1"/>
  <c r="L64" i="1"/>
  <c r="L55" i="1"/>
  <c r="K55" i="1"/>
  <c r="L43" i="1"/>
  <c r="K43" i="1"/>
  <c r="K57" i="1"/>
  <c r="L57" i="1"/>
  <c r="L53" i="1"/>
  <c r="K53" i="1"/>
  <c r="L49" i="1"/>
  <c r="K49" i="1"/>
  <c r="K45" i="1"/>
  <c r="L45" i="1"/>
  <c r="L61" i="1"/>
  <c r="K61" i="1"/>
  <c r="K65" i="1"/>
  <c r="L65" i="1"/>
  <c r="L47" i="1"/>
  <c r="K47" i="1"/>
  <c r="L63" i="1"/>
  <c r="K63" i="1"/>
  <c r="K56" i="1"/>
  <c r="L56" i="1"/>
  <c r="K52" i="1"/>
  <c r="L52" i="1"/>
  <c r="K48" i="1"/>
  <c r="L48" i="1"/>
  <c r="K44" i="1"/>
  <c r="L44" i="1"/>
  <c r="K62" i="1"/>
  <c r="L62" i="1"/>
  <c r="L67" i="1"/>
  <c r="K67" i="1"/>
  <c r="X54" i="1"/>
  <c r="W54" i="1" s="1"/>
  <c r="U50" i="1"/>
  <c r="X59" i="1"/>
  <c r="W59" i="1" s="1"/>
  <c r="U46" i="1"/>
  <c r="U64" i="1"/>
  <c r="U44" i="1"/>
  <c r="U48" i="1"/>
  <c r="U52" i="1"/>
  <c r="U63" i="1"/>
  <c r="X66" i="1"/>
  <c r="W66" i="1" s="1"/>
  <c r="U57" i="1"/>
  <c r="U49" i="1"/>
  <c r="X51" i="1"/>
  <c r="W51" i="1" s="1"/>
  <c r="U61" i="1"/>
  <c r="X65" i="1"/>
  <c r="W65" i="1" s="1"/>
  <c r="X67" i="1"/>
  <c r="W67" i="1" s="1"/>
  <c r="U62" i="1"/>
  <c r="U47" i="1"/>
  <c r="U45" i="1"/>
  <c r="X53" i="1"/>
  <c r="W53" i="1" s="1"/>
  <c r="U55" i="1"/>
  <c r="U42" i="1"/>
  <c r="AY66" i="1" l="1"/>
  <c r="AY62" i="1"/>
  <c r="AY61" i="1"/>
  <c r="AY60" i="1"/>
  <c r="AY58" i="1"/>
  <c r="AY42" i="1"/>
  <c r="AY41" i="1"/>
  <c r="AY40" i="1"/>
  <c r="AY39" i="1"/>
  <c r="AY38" i="1"/>
  <c r="AY37" i="1"/>
  <c r="AY36" i="1"/>
  <c r="AZ26" i="1"/>
  <c r="AZ25" i="1"/>
  <c r="AZ24" i="1"/>
  <c r="AZ23" i="1"/>
  <c r="AZ22" i="1"/>
  <c r="AZ21" i="1"/>
  <c r="AW66" i="1"/>
  <c r="AW62" i="1"/>
  <c r="AW61" i="1"/>
  <c r="AW60" i="1"/>
  <c r="AW58" i="1"/>
  <c r="AW42" i="1"/>
  <c r="AW41" i="1"/>
  <c r="AW40" i="1"/>
  <c r="AW39" i="1"/>
  <c r="AW38" i="1"/>
  <c r="AW37" i="1"/>
  <c r="AW36" i="1"/>
  <c r="AX28" i="1"/>
  <c r="AX26" i="1"/>
  <c r="AX25" i="1"/>
  <c r="AX24" i="1"/>
  <c r="AX23" i="1"/>
  <c r="AX22" i="1"/>
  <c r="AX21" i="1"/>
  <c r="AX18" i="1"/>
  <c r="AX17" i="1"/>
  <c r="AX16" i="1"/>
  <c r="AX15" i="1"/>
  <c r="AX14" i="1"/>
  <c r="AX13" i="1"/>
  <c r="AX12" i="1"/>
  <c r="AX11" i="1"/>
  <c r="AU37" i="1"/>
  <c r="AU38" i="1"/>
  <c r="AU39" i="1"/>
  <c r="AU40" i="1"/>
  <c r="AU41" i="1"/>
  <c r="AU42" i="1"/>
  <c r="AU58" i="1"/>
  <c r="AU60" i="1"/>
  <c r="AU61" i="1"/>
  <c r="AU62" i="1"/>
  <c r="AU63" i="1"/>
  <c r="AU64" i="1"/>
  <c r="AU65" i="1"/>
  <c r="AU66" i="1"/>
  <c r="AU67" i="1"/>
  <c r="AU36" i="1"/>
  <c r="AV12" i="1"/>
  <c r="AV14" i="1"/>
  <c r="AV15" i="1"/>
  <c r="AV16" i="1"/>
  <c r="AV17" i="1"/>
  <c r="AV18" i="1"/>
  <c r="AV21" i="1"/>
  <c r="AV22" i="1"/>
  <c r="AV23" i="1"/>
  <c r="AV24" i="1"/>
  <c r="AV25" i="1"/>
  <c r="AV26" i="1"/>
  <c r="AQ37" i="1"/>
  <c r="AS37" i="1" s="1"/>
  <c r="AQ38" i="1"/>
  <c r="AS38" i="1" s="1"/>
  <c r="AQ39" i="1"/>
  <c r="AS39" i="1" s="1"/>
  <c r="AQ40" i="1"/>
  <c r="AS40" i="1" s="1"/>
  <c r="AQ41" i="1"/>
  <c r="AS41" i="1" s="1"/>
  <c r="AQ42" i="1"/>
  <c r="AT42" i="1" s="1"/>
  <c r="AQ43" i="1"/>
  <c r="AT43" i="1" s="1"/>
  <c r="AQ44" i="1"/>
  <c r="AS44" i="1" s="1"/>
  <c r="AQ45" i="1"/>
  <c r="AS45" i="1" s="1"/>
  <c r="AQ46" i="1"/>
  <c r="AT46" i="1" s="1"/>
  <c r="AQ47" i="1"/>
  <c r="AS47" i="1" s="1"/>
  <c r="AQ48" i="1"/>
  <c r="AT48" i="1" s="1"/>
  <c r="AQ49" i="1"/>
  <c r="AS49" i="1" s="1"/>
  <c r="AQ50" i="1"/>
  <c r="AT50" i="1" s="1"/>
  <c r="AQ51" i="1"/>
  <c r="AT51" i="1" s="1"/>
  <c r="AQ52" i="1"/>
  <c r="AT52" i="1" s="1"/>
  <c r="AQ53" i="1"/>
  <c r="AS53" i="1" s="1"/>
  <c r="AQ54" i="1"/>
  <c r="AT54" i="1" s="1"/>
  <c r="AQ55" i="1"/>
  <c r="AS55" i="1" s="1"/>
  <c r="AQ56" i="1"/>
  <c r="AT56" i="1" s="1"/>
  <c r="AQ58" i="1"/>
  <c r="AS58" i="1" s="1"/>
  <c r="AQ60" i="1"/>
  <c r="AT60" i="1" s="1"/>
  <c r="AQ61" i="1"/>
  <c r="AS61" i="1" s="1"/>
  <c r="AQ62" i="1"/>
  <c r="AT62" i="1" s="1"/>
  <c r="AQ63" i="1"/>
  <c r="AT63" i="1" s="1"/>
  <c r="AQ64" i="1"/>
  <c r="AS64" i="1" s="1"/>
  <c r="AQ65" i="1"/>
  <c r="AS65" i="1" s="1"/>
  <c r="AQ66" i="1"/>
  <c r="AT66" i="1" s="1"/>
  <c r="AQ67" i="1"/>
  <c r="AS67" i="1" s="1"/>
  <c r="AR12" i="1"/>
  <c r="AR13" i="1"/>
  <c r="AR14" i="1"/>
  <c r="AR15" i="1"/>
  <c r="AR16" i="1" s="1"/>
  <c r="AR21" i="1"/>
  <c r="AR22" i="1"/>
  <c r="AR23" i="1"/>
  <c r="AR24" i="1"/>
  <c r="AR25" i="1"/>
  <c r="AR26" i="1"/>
  <c r="AR28" i="1"/>
  <c r="AQ36" i="1"/>
  <c r="AT36" i="1" s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S13" i="1"/>
  <c r="AS12" i="1"/>
  <c r="AT12" i="1"/>
  <c r="AT13" i="1"/>
  <c r="AT11" i="1"/>
  <c r="AS11" i="1"/>
  <c r="AR11" i="1"/>
  <c r="AN37" i="1"/>
  <c r="AP37" i="1" s="1"/>
  <c r="AN38" i="1"/>
  <c r="AP38" i="1" s="1"/>
  <c r="AN39" i="1"/>
  <c r="AP39" i="1" s="1"/>
  <c r="AN40" i="1"/>
  <c r="AP40" i="1" s="1"/>
  <c r="AN41" i="1"/>
  <c r="AP41" i="1" s="1"/>
  <c r="AN42" i="1"/>
  <c r="AP42" i="1" s="1"/>
  <c r="AN43" i="1"/>
  <c r="AP43" i="1" s="1"/>
  <c r="AN44" i="1"/>
  <c r="AP44" i="1" s="1"/>
  <c r="AN45" i="1"/>
  <c r="AP45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P51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P67" i="1" s="1"/>
  <c r="AN36" i="1"/>
  <c r="AP36" i="1" s="1"/>
  <c r="AN12" i="1"/>
  <c r="AP12" i="1" s="1"/>
  <c r="AN13" i="1"/>
  <c r="AP13" i="1" s="1"/>
  <c r="AN14" i="1"/>
  <c r="AP14" i="1" s="1"/>
  <c r="AN15" i="1"/>
  <c r="AP15" i="1" s="1"/>
  <c r="AN16" i="1"/>
  <c r="AP16" i="1" s="1"/>
  <c r="AN17" i="1"/>
  <c r="AP17" i="1" s="1"/>
  <c r="AN18" i="1"/>
  <c r="AP18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28" i="1"/>
  <c r="AP28" i="1" s="1"/>
  <c r="AN11" i="1"/>
  <c r="AP11" i="1" s="1"/>
  <c r="AF22" i="1"/>
  <c r="AF23" i="1"/>
  <c r="AF24" i="1"/>
  <c r="AF25" i="1"/>
  <c r="AF26" i="1"/>
  <c r="AF28" i="1"/>
  <c r="AF21" i="1"/>
  <c r="AF12" i="1"/>
  <c r="AF13" i="1"/>
  <c r="AF14" i="1"/>
  <c r="AF15" i="1"/>
  <c r="AF16" i="1" s="1"/>
  <c r="AF17" i="1" s="1"/>
  <c r="AF18" i="1" s="1"/>
  <c r="AF11" i="1"/>
  <c r="Z28" i="1"/>
  <c r="AA28" i="1" s="1"/>
  <c r="V12" i="1"/>
  <c r="V13" i="1"/>
  <c r="V14" i="1"/>
  <c r="V15" i="1"/>
  <c r="V16" i="1"/>
  <c r="V17" i="1"/>
  <c r="V18" i="1"/>
  <c r="V21" i="1"/>
  <c r="V22" i="1"/>
  <c r="V23" i="1"/>
  <c r="V24" i="1"/>
  <c r="V25" i="1"/>
  <c r="V26" i="1"/>
  <c r="V28" i="1"/>
  <c r="V11" i="1"/>
  <c r="Q46" i="1"/>
  <c r="S46" i="1" s="1"/>
  <c r="Q47" i="1"/>
  <c r="S47" i="1" s="1"/>
  <c r="Q48" i="1"/>
  <c r="S48" i="1" s="1"/>
  <c r="Q49" i="1"/>
  <c r="S49" i="1" s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T59" i="1" s="1"/>
  <c r="Q60" i="1"/>
  <c r="S60" i="1" s="1"/>
  <c r="Q61" i="1"/>
  <c r="S61" i="1" s="1"/>
  <c r="Q62" i="1"/>
  <c r="S62" i="1" s="1"/>
  <c r="Q63" i="1"/>
  <c r="T63" i="1" s="1"/>
  <c r="Q64" i="1"/>
  <c r="S64" i="1" s="1"/>
  <c r="Q65" i="1"/>
  <c r="S65" i="1" s="1"/>
  <c r="Q66" i="1"/>
  <c r="S66" i="1" s="1"/>
  <c r="Q67" i="1"/>
  <c r="S67" i="1" s="1"/>
  <c r="Q37" i="1"/>
  <c r="T37" i="1" s="1"/>
  <c r="Q38" i="1"/>
  <c r="S38" i="1" s="1"/>
  <c r="Q39" i="1"/>
  <c r="T39" i="1" s="1"/>
  <c r="Q40" i="1"/>
  <c r="S40" i="1" s="1"/>
  <c r="Q41" i="1"/>
  <c r="S41" i="1" s="1"/>
  <c r="Q42" i="1"/>
  <c r="S42" i="1" s="1"/>
  <c r="Q43" i="1"/>
  <c r="S43" i="1" s="1"/>
  <c r="Q44" i="1"/>
  <c r="T44" i="1" s="1"/>
  <c r="Q45" i="1"/>
  <c r="T45" i="1" s="1"/>
  <c r="Q36" i="1"/>
  <c r="S36" i="1" s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8" i="1"/>
  <c r="T28" i="1"/>
  <c r="S12" i="1"/>
  <c r="T12" i="1"/>
  <c r="S13" i="1"/>
  <c r="T13" i="1"/>
  <c r="T11" i="1"/>
  <c r="S11" i="1"/>
  <c r="R12" i="1"/>
  <c r="R13" i="1"/>
  <c r="R14" i="1"/>
  <c r="R15" i="1"/>
  <c r="R21" i="1"/>
  <c r="R22" i="1"/>
  <c r="R23" i="1"/>
  <c r="R24" i="1"/>
  <c r="R25" i="1"/>
  <c r="R26" i="1"/>
  <c r="R28" i="1"/>
  <c r="R11" i="1"/>
  <c r="E80" i="1"/>
  <c r="E79" i="1"/>
  <c r="D79" i="1" s="1"/>
  <c r="E76" i="1"/>
  <c r="D76" i="1" s="1"/>
  <c r="E78" i="1"/>
  <c r="D78" i="1" s="1"/>
  <c r="E77" i="1"/>
  <c r="D77" i="1" s="1"/>
  <c r="E75" i="1"/>
  <c r="D75" i="1" s="1"/>
  <c r="E74" i="1"/>
  <c r="D74" i="1" s="1"/>
  <c r="E73" i="1"/>
  <c r="D73" i="1" s="1"/>
  <c r="E72" i="1"/>
  <c r="D72" i="1" s="1"/>
  <c r="E71" i="1"/>
  <c r="D71" i="1" s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28" i="1"/>
  <c r="E26" i="1"/>
  <c r="E25" i="1"/>
  <c r="E24" i="1"/>
  <c r="E23" i="1"/>
  <c r="E22" i="1"/>
  <c r="E21" i="1"/>
  <c r="E12" i="1"/>
  <c r="E13" i="1"/>
  <c r="E14" i="1"/>
  <c r="E15" i="1"/>
  <c r="E16" i="1"/>
  <c r="E17" i="1"/>
  <c r="E18" i="1"/>
  <c r="E11" i="1"/>
  <c r="D80" i="1"/>
  <c r="E62" i="1"/>
  <c r="E63" i="1"/>
  <c r="E64" i="1"/>
  <c r="E65" i="1"/>
  <c r="E66" i="1"/>
  <c r="E67" i="1"/>
  <c r="E61" i="1"/>
  <c r="Y67" i="1"/>
  <c r="Y66" i="1"/>
  <c r="Y65" i="1"/>
  <c r="Y64" i="1"/>
  <c r="Y63" i="1"/>
  <c r="Y62" i="1"/>
  <c r="Y61" i="1"/>
  <c r="Y59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20" i="1"/>
  <c r="Y19" i="1"/>
  <c r="AS52" i="1" l="1"/>
  <c r="AS48" i="1"/>
  <c r="AT44" i="1"/>
  <c r="AS56" i="1"/>
  <c r="AT40" i="1"/>
  <c r="AS60" i="1"/>
  <c r="AT39" i="1"/>
  <c r="AS43" i="1"/>
  <c r="AS16" i="1"/>
  <c r="T16" i="1"/>
  <c r="AT64" i="1"/>
  <c r="T40" i="1"/>
  <c r="AS46" i="1"/>
  <c r="T60" i="1"/>
  <c r="S37" i="1"/>
  <c r="AT58" i="1"/>
  <c r="AS54" i="1"/>
  <c r="AT38" i="1"/>
  <c r="AS50" i="1"/>
  <c r="T52" i="1"/>
  <c r="AS17" i="1"/>
  <c r="AT17" i="1"/>
  <c r="AR17" i="1"/>
  <c r="Y28" i="1"/>
  <c r="AT16" i="1"/>
  <c r="T58" i="1"/>
  <c r="S39" i="1"/>
  <c r="AS66" i="1"/>
  <c r="AV11" i="1"/>
  <c r="AV13" i="1"/>
  <c r="AV28" i="1"/>
  <c r="T57" i="1"/>
  <c r="T51" i="1"/>
  <c r="T55" i="1"/>
  <c r="T38" i="1"/>
  <c r="T49" i="1"/>
  <c r="T53" i="1"/>
  <c r="AS51" i="1"/>
  <c r="AS63" i="1"/>
  <c r="AT55" i="1"/>
  <c r="AT47" i="1"/>
  <c r="T48" i="1"/>
  <c r="T47" i="1"/>
  <c r="S45" i="1"/>
  <c r="T56" i="1"/>
  <c r="S44" i="1"/>
  <c r="AT67" i="1"/>
  <c r="AS62" i="1"/>
  <c r="AS42" i="1"/>
  <c r="AS36" i="1"/>
  <c r="T66" i="1"/>
  <c r="T67" i="1"/>
  <c r="T65" i="1"/>
  <c r="T64" i="1"/>
  <c r="S63" i="1"/>
  <c r="T62" i="1"/>
  <c r="T61" i="1"/>
  <c r="S59" i="1"/>
  <c r="T50" i="1"/>
  <c r="T54" i="1"/>
  <c r="T46" i="1"/>
  <c r="AT65" i="1"/>
  <c r="AT61" i="1"/>
  <c r="AT53" i="1"/>
  <c r="AT49" i="1"/>
  <c r="AT45" i="1"/>
  <c r="AT41" i="1"/>
  <c r="AT37" i="1"/>
  <c r="T42" i="1"/>
  <c r="T43" i="1"/>
  <c r="T41" i="1"/>
  <c r="T36" i="1"/>
  <c r="AB28" i="1"/>
  <c r="AC28" i="1" s="1"/>
  <c r="AD28" i="1" s="1"/>
  <c r="H43" i="1"/>
  <c r="H41" i="1"/>
  <c r="H40" i="1"/>
  <c r="H39" i="1"/>
  <c r="H38" i="1"/>
  <c r="H37" i="1"/>
  <c r="H36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42" i="1"/>
  <c r="M13" i="1"/>
  <c r="M14" i="1"/>
  <c r="N15" i="1"/>
  <c r="M16" i="1"/>
  <c r="M17" i="1"/>
  <c r="M18" i="1"/>
  <c r="N19" i="1"/>
  <c r="N22" i="1"/>
  <c r="N23" i="1"/>
  <c r="J24" i="1"/>
  <c r="J25" i="1"/>
  <c r="M26" i="1"/>
  <c r="N28" i="1"/>
  <c r="I11" i="1"/>
  <c r="J37" i="1"/>
  <c r="M37" i="1"/>
  <c r="N37" i="1"/>
  <c r="O37" i="1"/>
  <c r="P37" i="1"/>
  <c r="J38" i="1"/>
  <c r="M38" i="1"/>
  <c r="N38" i="1"/>
  <c r="O38" i="1"/>
  <c r="P38" i="1"/>
  <c r="J39" i="1"/>
  <c r="M39" i="1"/>
  <c r="N39" i="1"/>
  <c r="O39" i="1"/>
  <c r="P39" i="1"/>
  <c r="J40" i="1"/>
  <c r="M40" i="1"/>
  <c r="N40" i="1"/>
  <c r="O40" i="1"/>
  <c r="P40" i="1"/>
  <c r="J41" i="1"/>
  <c r="M41" i="1"/>
  <c r="N41" i="1"/>
  <c r="O41" i="1"/>
  <c r="P41" i="1"/>
  <c r="J42" i="1"/>
  <c r="M42" i="1"/>
  <c r="N42" i="1"/>
  <c r="O42" i="1"/>
  <c r="P42" i="1"/>
  <c r="J43" i="1"/>
  <c r="M43" i="1"/>
  <c r="N43" i="1"/>
  <c r="O43" i="1"/>
  <c r="P43" i="1"/>
  <c r="J44" i="1"/>
  <c r="M44" i="1"/>
  <c r="N44" i="1"/>
  <c r="O44" i="1"/>
  <c r="P44" i="1"/>
  <c r="J45" i="1"/>
  <c r="M45" i="1"/>
  <c r="N45" i="1"/>
  <c r="O45" i="1"/>
  <c r="P45" i="1"/>
  <c r="J46" i="1"/>
  <c r="M46" i="1"/>
  <c r="N46" i="1"/>
  <c r="O46" i="1"/>
  <c r="P46" i="1"/>
  <c r="J47" i="1"/>
  <c r="M47" i="1"/>
  <c r="N47" i="1"/>
  <c r="O47" i="1"/>
  <c r="P47" i="1"/>
  <c r="J48" i="1"/>
  <c r="M48" i="1"/>
  <c r="N48" i="1"/>
  <c r="O48" i="1"/>
  <c r="P48" i="1"/>
  <c r="J49" i="1"/>
  <c r="M49" i="1"/>
  <c r="N49" i="1"/>
  <c r="O49" i="1"/>
  <c r="P49" i="1"/>
  <c r="J50" i="1"/>
  <c r="M50" i="1"/>
  <c r="N50" i="1"/>
  <c r="O50" i="1"/>
  <c r="P50" i="1"/>
  <c r="J51" i="1"/>
  <c r="M51" i="1"/>
  <c r="N51" i="1"/>
  <c r="O51" i="1"/>
  <c r="P51" i="1"/>
  <c r="J52" i="1"/>
  <c r="M52" i="1"/>
  <c r="N52" i="1"/>
  <c r="O52" i="1"/>
  <c r="P52" i="1"/>
  <c r="J53" i="1"/>
  <c r="M53" i="1"/>
  <c r="N53" i="1"/>
  <c r="O53" i="1"/>
  <c r="P53" i="1"/>
  <c r="J54" i="1"/>
  <c r="M54" i="1"/>
  <c r="N54" i="1"/>
  <c r="O54" i="1"/>
  <c r="P54" i="1"/>
  <c r="J55" i="1"/>
  <c r="M55" i="1"/>
  <c r="N55" i="1"/>
  <c r="O55" i="1"/>
  <c r="P55" i="1"/>
  <c r="J56" i="1"/>
  <c r="M56" i="1"/>
  <c r="N56" i="1"/>
  <c r="O56" i="1"/>
  <c r="P56" i="1"/>
  <c r="J57" i="1"/>
  <c r="M57" i="1"/>
  <c r="N57" i="1"/>
  <c r="O57" i="1"/>
  <c r="P57" i="1"/>
  <c r="J58" i="1"/>
  <c r="M58" i="1"/>
  <c r="N58" i="1"/>
  <c r="O58" i="1"/>
  <c r="P58" i="1"/>
  <c r="J59" i="1"/>
  <c r="M59" i="1"/>
  <c r="N59" i="1"/>
  <c r="O59" i="1"/>
  <c r="P59" i="1"/>
  <c r="J60" i="1"/>
  <c r="M60" i="1"/>
  <c r="N60" i="1"/>
  <c r="O60" i="1"/>
  <c r="P60" i="1"/>
  <c r="J61" i="1"/>
  <c r="M61" i="1"/>
  <c r="N61" i="1"/>
  <c r="O61" i="1"/>
  <c r="P61" i="1"/>
  <c r="J62" i="1"/>
  <c r="M62" i="1"/>
  <c r="N62" i="1"/>
  <c r="O62" i="1"/>
  <c r="P62" i="1"/>
  <c r="J63" i="1"/>
  <c r="M63" i="1"/>
  <c r="N63" i="1"/>
  <c r="O63" i="1"/>
  <c r="P63" i="1"/>
  <c r="J64" i="1"/>
  <c r="M64" i="1"/>
  <c r="N64" i="1"/>
  <c r="O64" i="1"/>
  <c r="P64" i="1"/>
  <c r="J65" i="1"/>
  <c r="M65" i="1"/>
  <c r="N65" i="1"/>
  <c r="O65" i="1"/>
  <c r="P65" i="1"/>
  <c r="J66" i="1"/>
  <c r="M66" i="1"/>
  <c r="N66" i="1"/>
  <c r="O66" i="1"/>
  <c r="P66" i="1"/>
  <c r="J67" i="1"/>
  <c r="M67" i="1"/>
  <c r="N67" i="1"/>
  <c r="O67" i="1"/>
  <c r="P67" i="1"/>
  <c r="P36" i="1"/>
  <c r="O36" i="1"/>
  <c r="N36" i="1"/>
  <c r="M36" i="1"/>
  <c r="J36" i="1"/>
  <c r="J12" i="1"/>
  <c r="M12" i="1"/>
  <c r="N12" i="1"/>
  <c r="O12" i="1"/>
  <c r="P12" i="1"/>
  <c r="J13" i="1"/>
  <c r="J14" i="1"/>
  <c r="J16" i="1"/>
  <c r="N16" i="1"/>
  <c r="P16" i="1"/>
  <c r="N18" i="1"/>
  <c r="P18" i="1"/>
  <c r="M19" i="1"/>
  <c r="J20" i="1"/>
  <c r="M20" i="1"/>
  <c r="N20" i="1"/>
  <c r="O20" i="1"/>
  <c r="P20" i="1"/>
  <c r="J21" i="1"/>
  <c r="M21" i="1"/>
  <c r="N21" i="1"/>
  <c r="O21" i="1"/>
  <c r="P21" i="1"/>
  <c r="M23" i="1"/>
  <c r="N24" i="1"/>
  <c r="O24" i="1"/>
  <c r="AH41" i="1"/>
  <c r="AH40" i="1"/>
  <c r="AH39" i="1"/>
  <c r="AH38" i="1"/>
  <c r="AH37" i="1"/>
  <c r="AH36" i="1"/>
  <c r="O11" i="1" l="1"/>
  <c r="K11" i="1"/>
  <c r="L11" i="1"/>
  <c r="R16" i="1"/>
  <c r="T17" i="1" s="1"/>
  <c r="S16" i="1"/>
  <c r="AS18" i="1"/>
  <c r="AR18" i="1"/>
  <c r="AT18" i="1"/>
  <c r="M25" i="1"/>
  <c r="O25" i="1"/>
  <c r="N14" i="1"/>
  <c r="M24" i="1"/>
  <c r="J18" i="1"/>
  <c r="M15" i="1"/>
  <c r="P24" i="1"/>
  <c r="P14" i="1"/>
  <c r="P26" i="1"/>
  <c r="J26" i="1"/>
  <c r="P17" i="1"/>
  <c r="M22" i="1"/>
  <c r="J17" i="1"/>
  <c r="P13" i="1"/>
  <c r="O26" i="1"/>
  <c r="P22" i="1"/>
  <c r="J22" i="1"/>
  <c r="O17" i="1"/>
  <c r="O13" i="1"/>
  <c r="N26" i="1"/>
  <c r="O22" i="1"/>
  <c r="N17" i="1"/>
  <c r="N13" i="1"/>
  <c r="M28" i="1"/>
  <c r="N25" i="1"/>
  <c r="P25" i="1"/>
  <c r="O18" i="1"/>
  <c r="O16" i="1"/>
  <c r="O14" i="1"/>
  <c r="P28" i="1"/>
  <c r="J28" i="1"/>
  <c r="P23" i="1"/>
  <c r="J23" i="1"/>
  <c r="P19" i="1"/>
  <c r="J19" i="1"/>
  <c r="P15" i="1"/>
  <c r="J15" i="1"/>
  <c r="O28" i="1"/>
  <c r="O23" i="1"/>
  <c r="O19" i="1"/>
  <c r="O15" i="1"/>
  <c r="J11" i="1"/>
  <c r="M11" i="1"/>
  <c r="N11" i="1"/>
  <c r="P11" i="1"/>
  <c r="D60" i="1"/>
  <c r="D58" i="1"/>
  <c r="S17" i="1" l="1"/>
  <c r="R17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61" i="1"/>
  <c r="AL62" i="1"/>
  <c r="AL63" i="1"/>
  <c r="AL64" i="1"/>
  <c r="AL65" i="1"/>
  <c r="AL66" i="1"/>
  <c r="AL67" i="1"/>
  <c r="AL42" i="1"/>
  <c r="R18" i="1" l="1"/>
  <c r="S18" i="1"/>
  <c r="T18" i="1"/>
  <c r="AK12" i="1"/>
  <c r="AK13" i="1"/>
  <c r="AK14" i="1"/>
  <c r="AK15" i="1"/>
  <c r="AK16" i="1"/>
  <c r="AK17" i="1"/>
  <c r="AK18" i="1"/>
  <c r="AK21" i="1"/>
  <c r="AK22" i="1"/>
  <c r="AK23" i="1"/>
  <c r="AK24" i="1"/>
  <c r="AK25" i="1"/>
  <c r="AK26" i="1"/>
  <c r="AK28" i="1"/>
  <c r="AK11" i="1"/>
  <c r="AE43" i="1" l="1"/>
  <c r="AH43" i="1" s="1"/>
  <c r="AE44" i="1"/>
  <c r="AH44" i="1" s="1"/>
  <c r="AE45" i="1"/>
  <c r="AH45" i="1" s="1"/>
  <c r="AE46" i="1"/>
  <c r="AH46" i="1" s="1"/>
  <c r="AE47" i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H55" i="1" s="1"/>
  <c r="AE56" i="1"/>
  <c r="AH56" i="1" s="1"/>
  <c r="AE57" i="1"/>
  <c r="AH57" i="1" s="1"/>
  <c r="AE59" i="1"/>
  <c r="AH59" i="1" s="1"/>
  <c r="AE61" i="1"/>
  <c r="AH61" i="1" s="1"/>
  <c r="AE62" i="1"/>
  <c r="AH62" i="1" s="1"/>
  <c r="AE63" i="1"/>
  <c r="AH63" i="1" s="1"/>
  <c r="AE64" i="1"/>
  <c r="AH64" i="1" s="1"/>
  <c r="AE65" i="1"/>
  <c r="AH65" i="1" s="1"/>
  <c r="AE66" i="1"/>
  <c r="AH66" i="1" s="1"/>
  <c r="AE67" i="1"/>
  <c r="AH67" i="1" s="1"/>
  <c r="AE42" i="1"/>
  <c r="AH42" i="1" s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8" i="1"/>
  <c r="AH11" i="1"/>
  <c r="AG26" i="1" l="1"/>
  <c r="AI26" i="1"/>
  <c r="AG24" i="1"/>
  <c r="AI24" i="1"/>
  <c r="AG16" i="1"/>
  <c r="AI16" i="1"/>
  <c r="AI25" i="1"/>
  <c r="AG25" i="1"/>
  <c r="AG23" i="1"/>
  <c r="AI23" i="1"/>
  <c r="AG22" i="1"/>
  <c r="AI22" i="1"/>
  <c r="AI21" i="1"/>
  <c r="AG21" i="1"/>
  <c r="AG18" i="1"/>
  <c r="AI18" i="1"/>
  <c r="AG20" i="1"/>
  <c r="AI20" i="1"/>
  <c r="AG17" i="1"/>
  <c r="AI17" i="1"/>
  <c r="AG28" i="1"/>
  <c r="AI28" i="1"/>
  <c r="AG19" i="1"/>
  <c r="AI19" i="1"/>
  <c r="AG37" i="1"/>
  <c r="AI37" i="1"/>
  <c r="AG38" i="1"/>
  <c r="AI38" i="1"/>
  <c r="AG39" i="1"/>
  <c r="AI39" i="1"/>
  <c r="AG40" i="1"/>
  <c r="AI40" i="1"/>
  <c r="AG41" i="1"/>
  <c r="AI41" i="1"/>
  <c r="AG42" i="1"/>
  <c r="AI42" i="1"/>
  <c r="AG43" i="1"/>
  <c r="AI43" i="1"/>
  <c r="AG44" i="1"/>
  <c r="AI44" i="1"/>
  <c r="AG45" i="1"/>
  <c r="AI45" i="1"/>
  <c r="AG46" i="1"/>
  <c r="AI46" i="1"/>
  <c r="AG47" i="1"/>
  <c r="AI47" i="1"/>
  <c r="AG48" i="1"/>
  <c r="AI48" i="1"/>
  <c r="AG49" i="1"/>
  <c r="AI49" i="1"/>
  <c r="AG50" i="1"/>
  <c r="AI50" i="1"/>
  <c r="AG51" i="1"/>
  <c r="AI51" i="1"/>
  <c r="AG52" i="1"/>
  <c r="AI52" i="1"/>
  <c r="AG53" i="1"/>
  <c r="AI53" i="1"/>
  <c r="AG54" i="1"/>
  <c r="AI54" i="1"/>
  <c r="AG55" i="1"/>
  <c r="AI55" i="1"/>
  <c r="AG56" i="1"/>
  <c r="AI56" i="1"/>
  <c r="AG57" i="1"/>
  <c r="AI57" i="1"/>
  <c r="AG59" i="1"/>
  <c r="AI59" i="1"/>
  <c r="AG61" i="1"/>
  <c r="AI61" i="1"/>
  <c r="AG62" i="1"/>
  <c r="AI62" i="1"/>
  <c r="AG63" i="1"/>
  <c r="AI63" i="1"/>
  <c r="AG64" i="1"/>
  <c r="AI64" i="1"/>
  <c r="AG65" i="1"/>
  <c r="AI65" i="1"/>
  <c r="AG66" i="1"/>
  <c r="AI66" i="1"/>
  <c r="AG67" i="1"/>
  <c r="AI67" i="1"/>
  <c r="AI36" i="1"/>
  <c r="AG36" i="1"/>
  <c r="AG12" i="1"/>
  <c r="AI12" i="1"/>
  <c r="AG13" i="1"/>
  <c r="AI13" i="1"/>
  <c r="AG14" i="1"/>
  <c r="AI14" i="1"/>
  <c r="AG15" i="1"/>
  <c r="AI15" i="1"/>
  <c r="AI11" i="1"/>
  <c r="AG11" i="1"/>
  <c r="AC19" i="1"/>
  <c r="AD19" i="1"/>
  <c r="AC20" i="1"/>
  <c r="AD20" i="1"/>
  <c r="D62" i="1"/>
  <c r="D63" i="1"/>
  <c r="D64" i="1"/>
  <c r="D65" i="1"/>
  <c r="D66" i="1"/>
  <c r="D67" i="1"/>
  <c r="D61" i="1"/>
  <c r="X12" i="1"/>
  <c r="X13" i="1"/>
  <c r="X14" i="1"/>
  <c r="X15" i="1"/>
  <c r="X24" i="1"/>
  <c r="X25" i="1"/>
  <c r="X26" i="1"/>
  <c r="X16" i="1"/>
  <c r="X17" i="1"/>
  <c r="X18" i="1"/>
  <c r="X21" i="1"/>
  <c r="X22" i="1"/>
  <c r="X23" i="1"/>
  <c r="X28" i="1"/>
  <c r="X11" i="1"/>
  <c r="Z37" i="1"/>
  <c r="AA37" i="1"/>
  <c r="AB37" i="1"/>
  <c r="AC37" i="1"/>
  <c r="AD37" i="1"/>
  <c r="Z38" i="1"/>
  <c r="AA38" i="1"/>
  <c r="AB38" i="1"/>
  <c r="AC38" i="1"/>
  <c r="AD38" i="1"/>
  <c r="Z39" i="1"/>
  <c r="AA39" i="1"/>
  <c r="AB39" i="1"/>
  <c r="AC39" i="1"/>
  <c r="AD39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5" i="1"/>
  <c r="AA45" i="1"/>
  <c r="AB45" i="1"/>
  <c r="AC45" i="1"/>
  <c r="AD45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9" i="1"/>
  <c r="AA59" i="1"/>
  <c r="AB59" i="1"/>
  <c r="AC59" i="1"/>
  <c r="AD59" i="1"/>
  <c r="Z61" i="1"/>
  <c r="AA61" i="1"/>
  <c r="AB61" i="1"/>
  <c r="AC61" i="1"/>
  <c r="AD61" i="1"/>
  <c r="Z62" i="1"/>
  <c r="AA62" i="1"/>
  <c r="AB62" i="1"/>
  <c r="AC62" i="1"/>
  <c r="AD62" i="1"/>
  <c r="Z63" i="1"/>
  <c r="AA63" i="1"/>
  <c r="AB63" i="1"/>
  <c r="AC63" i="1"/>
  <c r="AD63" i="1"/>
  <c r="Z64" i="1"/>
  <c r="AA64" i="1"/>
  <c r="AB64" i="1"/>
  <c r="AC64" i="1"/>
  <c r="AD64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AD36" i="1"/>
  <c r="AC36" i="1"/>
  <c r="AB36" i="1"/>
  <c r="AA36" i="1"/>
  <c r="Z36" i="1"/>
  <c r="AA19" i="1"/>
  <c r="AB19" i="1"/>
  <c r="AA20" i="1"/>
  <c r="AB20" i="1"/>
  <c r="Z19" i="1"/>
  <c r="Z20" i="1"/>
  <c r="D12" i="1"/>
  <c r="D13" i="1"/>
  <c r="D14" i="1"/>
  <c r="D15" i="1"/>
  <c r="D24" i="1"/>
  <c r="D25" i="1"/>
  <c r="D26" i="1"/>
  <c r="D16" i="1"/>
  <c r="D17" i="1"/>
  <c r="D18" i="1"/>
  <c r="D19" i="1"/>
  <c r="D20" i="1"/>
  <c r="D21" i="1"/>
  <c r="D22" i="1"/>
  <c r="D23" i="1"/>
  <c r="D28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1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61" i="1"/>
  <c r="AJ62" i="1"/>
  <c r="AJ63" i="1"/>
  <c r="AJ64" i="1"/>
  <c r="AJ65" i="1"/>
  <c r="AJ66" i="1"/>
  <c r="AJ67" i="1"/>
  <c r="AJ42" i="1"/>
  <c r="AB11" i="1" l="1"/>
  <c r="Y11" i="1"/>
  <c r="AD21" i="1"/>
  <c r="Y21" i="1"/>
  <c r="AA26" i="1"/>
  <c r="Y26" i="1"/>
  <c r="AA14" i="1"/>
  <c r="Y14" i="1"/>
  <c r="AC18" i="1"/>
  <c r="Y18" i="1"/>
  <c r="AB25" i="1"/>
  <c r="Y25" i="1"/>
  <c r="AB13" i="1"/>
  <c r="Y13" i="1"/>
  <c r="AC23" i="1"/>
  <c r="Y23" i="1"/>
  <c r="AA17" i="1"/>
  <c r="Y17" i="1"/>
  <c r="AC24" i="1"/>
  <c r="Y24" i="1"/>
  <c r="AB12" i="1"/>
  <c r="Y12" i="1"/>
  <c r="AB22" i="1"/>
  <c r="Y22" i="1"/>
  <c r="AC16" i="1"/>
  <c r="Y16" i="1"/>
  <c r="AD15" i="1"/>
  <c r="Y15" i="1"/>
  <c r="AD13" i="1"/>
  <c r="AD17" i="1"/>
  <c r="AC25" i="1"/>
  <c r="AD11" i="1"/>
  <c r="AC11" i="1"/>
  <c r="Z11" i="1"/>
  <c r="AC26" i="1"/>
  <c r="AA11" i="1"/>
  <c r="Z13" i="1"/>
  <c r="AD26" i="1"/>
  <c r="AD18" i="1"/>
  <c r="Z18" i="1"/>
  <c r="AA18" i="1"/>
  <c r="Z15" i="1"/>
  <c r="AA15" i="1"/>
  <c r="AB15" i="1"/>
  <c r="Z14" i="1"/>
  <c r="AC14" i="1"/>
  <c r="AD14" i="1"/>
  <c r="AB14" i="1"/>
  <c r="AA13" i="1"/>
  <c r="Z12" i="1"/>
  <c r="AC12" i="1"/>
  <c r="AD25" i="1"/>
  <c r="Z22" i="1"/>
  <c r="Z23" i="1"/>
  <c r="AB26" i="1"/>
  <c r="AC17" i="1"/>
  <c r="AB23" i="1"/>
  <c r="AC15" i="1"/>
  <c r="AA25" i="1"/>
  <c r="AD23" i="1"/>
  <c r="AB18" i="1"/>
  <c r="AD12" i="1"/>
  <c r="AD24" i="1"/>
  <c r="AD16" i="1"/>
  <c r="AB21" i="1"/>
  <c r="AA16" i="1"/>
  <c r="AB24" i="1"/>
  <c r="AA12" i="1"/>
  <c r="AD22" i="1"/>
  <c r="Z16" i="1"/>
  <c r="AC21" i="1"/>
  <c r="AB16" i="1"/>
  <c r="Z21" i="1"/>
  <c r="AC22" i="1"/>
  <c r="AB17" i="1"/>
  <c r="AC13" i="1"/>
  <c r="AA24" i="1"/>
  <c r="AM57" i="1"/>
  <c r="AR59" i="1"/>
  <c r="AY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D7F402A2-883A-4EAA-AA2A-119C88B608BB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<sst xmlns="http://schemas.openxmlformats.org/spreadsheetml/2006/main" count="337" uniqueCount="229">
  <si>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</si>
  <si>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</si>
  <si>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</si>
  <si>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</si>
  <si>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</si>
  <si>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</si>
  <si>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</si>
  <si>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</si>
  <si>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</si>
  <si>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</si>
  <si>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</si>
  <si>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</si>
  <si>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</si>
  <si>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</si>
  <si>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</si>
  <si>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</si>
  <si>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</si>
  <si>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</si>
  <si>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</si>
  <si>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</si>
  <si>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</si>
  <si>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</si>
  <si>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</si>
  <si>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</si>
  <si>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</si>
  <si>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</si>
  <si>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</si>
  <si>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</si>
  <si>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</si>
  <si>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</si>
  <si>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</si>
  <si>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</si>
  <si>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</si>
  <si>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</si>
  <si>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</si>
  <si>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</si>
  <si>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</si>
  <si>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</si>
  <si>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</si>
  <si>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</si>
  <si>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</si>
  <si>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</si>
  <si>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</si>
  <si>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</si>
  <si>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</si>
  <si>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</si>
  <si>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</si>
  <si>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</si>
  <si>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</si>
  <si>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</si>
  <si>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</si>
  <si>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</si>
  <si>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</si>
  <si>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</si>
  <si>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</si>
  <si>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</si>
  <si>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</si>
  <si>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</si>
  <si>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</si>
  <si>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</si>
  <si>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</si>
  <si>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</si>
  <si>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</si>
  <si>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</si>
  <si>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</si>
  <si>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</si>
  <si>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</si>
  <si>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</si>
  <si>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</si>
  <si>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</si>
  <si>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</si>
  <si>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</si>
  <si>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</si>
  <si>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</si>
  <si>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</si>
  <si>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</si>
  <si>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</si>
  <si>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</si>
  <si>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</si>
  <si>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</si>
  <si>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</si>
  <si>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</si>
  <si>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</si>
  <si>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</si>
  <si>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</si>
  <si>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</si>
  <si>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</si>
  <si>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</si>
  <si>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</si>
  <si>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</si>
  <si>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</si>
  <si>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</si>
  <si>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</si>
  <si>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</si>
  <si>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</si>
  <si>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</si>
  <si>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</si>
  <si>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</si>
  <si>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</si>
  <si>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</si>
  <si>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</si>
  <si>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</si>
  <si>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</si>
  <si>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</si>
  <si>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</si>
  <si>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</si>
  <si>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</si>
  <si>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</si>
  <si>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</si>
  <si>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</si>
  <si>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</si>
  <si>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</si>
  <si>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6. Payment Arrangement Rates have NOT been split between In-Hospital &amp; Out-Hospital.  Use as appropriate.  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</si>
  <si>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</si>
  <si>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</si>
  <si>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</si>
  <si>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</si>
  <si>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</si>
  <si>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</si>
  <si>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</si>
  <si>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</si>
  <si>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</si>
  <si>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</si>
  <si>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</si>
  <si>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</si>
  <si>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</si>
  <si>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</si>
  <si>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Base
Rate</t>
  </si>
  <si>
    <t>DPA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</si>
  <si>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</si>
  <si>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</si>
  <si>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</si>
  <si>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</si>
  <si>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</si>
  <si>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</si>
  <si>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</si>
  <si>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</si>
  <si>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</si>
  <si>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</si>
  <si>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</si>
  <si>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</si>
  <si>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</si>
  <si>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</si>
  <si>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</si>
  <si>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</si>
  <si>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</si>
  <si>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</si>
  <si>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</si>
  <si>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</si>
  <si>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</si>
  <si>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</si>
  <si>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</si>
  <si>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</si>
  <si>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</si>
  <si>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</si>
  <si>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</si>
  <si>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</si>
  <si>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</si>
  <si>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</si>
  <si>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</si>
  <si>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</si>
  <si>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</si>
  <si>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0215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</si>
  <si>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</si>
  <si>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</si>
  <si>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</si>
  <si>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</si>
  <si>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</si>
  <si>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</si>
  <si>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</si>
  <si>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</si>
  <si>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</si>
  <si>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</si>
  <si>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</si>
  <si>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</si>
  <si>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</si>
  <si>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</si>
  <si>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</si>
  <si>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</si>
  <si>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</si>
  <si>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</si>
  <si>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</si>
  <si>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</si>
  <si>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</si>
  <si>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</si>
  <si>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</si>
  <si>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</si>
  <si>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</si>
  <si>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</si>
  <si>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</si>
  <si>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</si>
  <si>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</si>
  <si>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</si>
  <si>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</si>
  <si>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</si>
  <si>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</si>
  <si>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</si>
  <si>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</si>
  <si>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</si>
  <si>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</si>
  <si>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</si>
  <si>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</si>
  <si>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</si>
  <si>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</si>
  <si>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</si>
  <si>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</si>
  <si>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</si>
  <si>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</si>
  <si>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</si>
  <si>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</si>
  <si>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</si>
  <si>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GYNAECOLOGY COSTING GUIDE 2020</t>
  </si>
  <si>
    <t>0193</t>
  </si>
  <si>
    <t xml:space="preserve"> </t>
  </si>
  <si>
    <t>NVD01/CS01</t>
  </si>
  <si>
    <t>NVD01/CS02</t>
  </si>
  <si>
    <t>NVD01/CS03</t>
  </si>
  <si>
    <t>Additional per maternity event</t>
  </si>
  <si>
    <t>Normal Vaginal Delivery for Keycare</t>
  </si>
  <si>
    <t>NDV01</t>
  </si>
  <si>
    <t>Completion and submission of the Prenatal Record</t>
  </si>
  <si>
    <t>Completion and submission of the Summary of Labour and Discharge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</si>
  <si>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</si>
  <si>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</si>
  <si>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</si>
  <si>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</si>
  <si>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</si>
  <si>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</si>
  <si>
    <t xml:space="preserve">10. The new and updated procedure codes were approved by the applicable Mangement Group, Society, SAPPF and SAMA in 2015.  We encourage practitioners to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</si>
</sst>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.000_ ;_ * \-#,##0.000_ ;_ * &quot;-&quot;??_ ;_ @_ "/>
  </numFmts>
  <fonts count="3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6" fillId="0" borderId="20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3" fillId="3" borderId="5" xfId="1" applyNumberFormat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4" fontId="25" fillId="2" borderId="20" xfId="1" applyNumberFormat="1" applyFont="1" applyFill="1" applyBorder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165" fontId="28" fillId="8" borderId="1" xfId="1" applyNumberFormat="1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2" borderId="20" xfId="1" applyNumberFormat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165" fontId="28" fillId="9" borderId="1" xfId="1" applyNumberFormat="1" applyFont="1" applyFill="1" applyBorder="1" applyProtection="1"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7" fillId="9" borderId="0" xfId="0" applyFont="1" applyFill="1" applyAlignment="1" applyProtection="1">
      <alignment horizontal="center"/>
      <protection hidden="1"/>
    </xf>
    <xf numFmtId="165" fontId="27" fillId="9" borderId="0" xfId="1" applyNumberFormat="1" applyFont="1" applyFill="1" applyAlignment="1" applyProtection="1">
      <alignment horizontal="center"/>
      <protection hidden="1"/>
    </xf>
    <xf numFmtId="0" fontId="29" fillId="12" borderId="1" xfId="0" applyFont="1" applyFill="1" applyBorder="1" applyProtection="1">
      <protection hidden="1"/>
    </xf>
    <xf numFmtId="0" fontId="29" fillId="12" borderId="1" xfId="0" applyFont="1" applyFill="1" applyBorder="1" applyAlignment="1" applyProtection="1">
      <alignment horizontal="center"/>
      <protection hidden="1"/>
    </xf>
    <xf numFmtId="0" fontId="29" fillId="12" borderId="1" xfId="0" quotePrefix="1" applyFont="1" applyFill="1" applyBorder="1" applyAlignment="1" applyProtection="1">
      <alignment horizontal="center"/>
      <protection hidden="1"/>
    </xf>
    <xf numFmtId="165" fontId="29" fillId="12" borderId="1" xfId="1" applyNumberFormat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9" fillId="12" borderId="1" xfId="0" applyFont="1" applyFill="1" applyBorder="1" applyAlignment="1" applyProtection="1">
      <alignment wrapText="1"/>
      <protection hidden="1"/>
    </xf>
    <xf numFmtId="0" fontId="29" fillId="12" borderId="1" xfId="0" applyFont="1" applyFill="1" applyBorder="1" applyAlignment="1" applyProtection="1">
      <alignment horizontal="center" wrapText="1"/>
      <protection hidden="1"/>
    </xf>
    <xf numFmtId="0" fontId="29" fillId="12" borderId="1" xfId="0" quotePrefix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165" fontId="29" fillId="12" borderId="1" xfId="1" applyNumberFormat="1" applyFont="1" applyFill="1" applyBorder="1" applyProtection="1">
      <protection hidden="1"/>
    </xf>
    <xf numFmtId="0" fontId="27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5" fontId="29" fillId="13" borderId="1" xfId="1" applyNumberFormat="1" applyFont="1" applyFill="1" applyBorder="1" applyAlignment="1" applyProtection="1">
      <alignment wrapText="1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Protection="1">
      <protection hidden="1"/>
    </xf>
    <xf numFmtId="165" fontId="28" fillId="9" borderId="1" xfId="1" applyNumberFormat="1" applyFont="1" applyFill="1" applyBorder="1" applyAlignment="1" applyProtection="1">
      <alignment wrapText="1"/>
      <protection hidden="1"/>
    </xf>
    <xf numFmtId="165" fontId="27" fillId="9" borderId="0" xfId="1" applyNumberFormat="1" applyFont="1" applyFill="1" applyProtection="1">
      <protection hidden="1"/>
    </xf>
    <xf numFmtId="165" fontId="27" fillId="9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applyNumberFormat="1" applyFont="1" applyFill="1" applyProtection="1">
      <protection hidden="1"/>
    </xf>
    <xf numFmtId="165" fontId="27" fillId="0" borderId="0" xfId="1" applyNumberFormat="1" applyFont="1" applyFill="1" applyAlignment="1" applyProtection="1">
      <alignment horizontal="center" wrapText="1"/>
      <protection hidden="1"/>
    </xf>
    <xf numFmtId="49" fontId="25" fillId="2" borderId="9" xfId="0" applyNumberFormat="1" applyFont="1" applyFill="1" applyBorder="1" applyProtection="1"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164" fontId="25" fillId="0" borderId="20" xfId="1" applyFont="1" applyFill="1" applyBorder="1" applyProtection="1">
      <protection hidden="1"/>
    </xf>
    <xf numFmtId="165" fontId="25" fillId="2" borderId="20" xfId="1" applyNumberFormat="1" applyFont="1" applyFill="1" applyBorder="1" applyProtection="1">
      <protection hidden="1"/>
    </xf>
    <xf numFmtId="164" fontId="25" fillId="0" borderId="20" xfId="1" applyNumberFormat="1" applyFont="1" applyFill="1" applyBorder="1" applyProtection="1">
      <protection hidden="1"/>
    </xf>
    <xf numFmtId="0" fontId="35" fillId="2" borderId="0" xfId="0" applyFont="1" applyFill="1" applyBorder="1" applyProtection="1">
      <protection hidden="1"/>
    </xf>
    <xf numFmtId="49" fontId="20" fillId="2" borderId="23" xfId="0" applyNumberFormat="1" applyFont="1" applyFill="1" applyBorder="1" applyProtection="1">
      <protection hidden="1"/>
    </xf>
    <xf numFmtId="0" fontId="20" fillId="2" borderId="24" xfId="0" applyFont="1" applyFill="1" applyBorder="1" applyAlignment="1" applyProtection="1">
      <alignment wrapText="1"/>
      <protection hidden="1"/>
    </xf>
    <xf numFmtId="164" fontId="20" fillId="2" borderId="25" xfId="1" applyFont="1" applyFill="1" applyBorder="1" applyProtection="1">
      <protection hidden="1"/>
    </xf>
    <xf numFmtId="165" fontId="20" fillId="0" borderId="25" xfId="1" applyNumberFormat="1" applyFont="1" applyFill="1" applyBorder="1" applyProtection="1">
      <protection hidden="1"/>
    </xf>
    <xf numFmtId="164" fontId="20" fillId="0" borderId="25" xfId="1" applyFont="1" applyFill="1" applyBorder="1" applyProtection="1">
      <protection hidden="1"/>
    </xf>
    <xf numFmtId="164" fontId="20" fillId="6" borderId="25" xfId="1" applyFont="1" applyFill="1" applyBorder="1" applyProtection="1">
      <protection hidden="1"/>
    </xf>
    <xf numFmtId="165" fontId="20" fillId="2" borderId="25" xfId="1" applyNumberFormat="1" applyFont="1" applyFill="1" applyBorder="1" applyProtection="1">
      <protection hidden="1"/>
    </xf>
    <xf numFmtId="164" fontId="20" fillId="0" borderId="25" xfId="1" applyNumberFormat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2" xfId="0" applyFont="1" applyBorder="1" applyProtection="1">
      <protection hidden="1"/>
    </xf>
    <xf numFmtId="0" fontId="34" fillId="2" borderId="0" xfId="0" applyFont="1" applyFill="1" applyAlignment="1" applyProtection="1">
      <alignment wrapText="1"/>
      <protection hidden="1"/>
    </xf>
    <xf numFmtId="0" fontId="36" fillId="2" borderId="0" xfId="0" applyFont="1" applyFill="1" applyAlignment="1" applyProtection="1">
      <alignment wrapText="1"/>
      <protection hidden="1"/>
    </xf>
    <xf numFmtId="164" fontId="36" fillId="2" borderId="0" xfId="1" applyFont="1" applyFill="1" applyBorder="1" applyAlignment="1" applyProtection="1">
      <alignment wrapText="1"/>
      <protection hidden="1"/>
    </xf>
    <xf numFmtId="165" fontId="36" fillId="2" borderId="0" xfId="1" applyNumberFormat="1" applyFont="1" applyFill="1" applyBorder="1" applyAlignment="1" applyProtection="1">
      <alignment wrapText="1"/>
      <protection hidden="1"/>
    </xf>
    <xf numFmtId="165" fontId="36" fillId="2" borderId="6" xfId="1" applyNumberFormat="1" applyFont="1" applyFill="1" applyBorder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30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0"/>
  <sheetViews>
    <sheetView tabSelected="1" zoomScale="90" zoomScaleNormal="90" workbookViewId="0">
      <pane xSplit="3" ySplit="7" topLeftCell="AC58" activePane="bottomRight" state="frozen"/>
      <selection pane="topRight" activeCell="D1" sqref="D1"/>
      <selection pane="bottomLeft" activeCell="A8" sqref="A8"/>
      <selection pane="bottomRight" activeCell="AL59" sqref="AL59"/>
    </sheetView>
  </sheetViews>
  <sheetFormatPr defaultColWidth="9.140625" defaultRowHeight="12.75" x14ac:dyDescent="0.2"/>
  <cols>
    <col min="1" max="1" width="11.140625" style="5" customWidth="1"/>
    <col min="2" max="2" width="61.28515625" style="91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2" width="11.7109375" style="7" customWidth="1"/>
    <col min="13" max="13" width="15" style="7" customWidth="1"/>
    <col min="14" max="14" width="14" style="7" customWidth="1"/>
    <col min="15" max="16" width="11.7109375" style="7" customWidth="1"/>
    <col min="17" max="17" width="10.140625" style="6" customWidth="1"/>
    <col min="18" max="18" width="10.140625" style="7" customWidth="1"/>
    <col min="19" max="20" width="11.7109375" style="7" customWidth="1"/>
    <col min="21" max="21" width="10.140625" style="6" bestFit="1" customWidth="1"/>
    <col min="22" max="22" width="9.85546875" style="7" customWidth="1"/>
    <col min="23" max="23" width="10.140625" style="6" bestFit="1" customWidth="1"/>
    <col min="24" max="24" width="9.42578125" style="7" customWidth="1"/>
    <col min="25" max="29" width="9.42578125" style="6" bestFit="1" customWidth="1"/>
    <col min="30" max="30" width="10.5703125" style="6" bestFit="1" customWidth="1"/>
    <col min="31" max="31" width="10.140625" style="8" bestFit="1" customWidth="1"/>
    <col min="32" max="32" width="10.42578125" style="7" bestFit="1" customWidth="1"/>
    <col min="33" max="33" width="9.42578125" style="7" bestFit="1" customWidth="1"/>
    <col min="34" max="34" width="9.28515625" style="7" customWidth="1"/>
    <col min="35" max="35" width="10.5703125" style="7" bestFit="1" customWidth="1"/>
    <col min="36" max="36" width="11.42578125" style="6" customWidth="1"/>
    <col min="37" max="37" width="10.5703125" style="7" customWidth="1"/>
    <col min="38" max="38" width="9.7109375" style="6" customWidth="1"/>
    <col min="39" max="39" width="9.7109375" style="7" customWidth="1"/>
    <col min="40" max="40" width="10.140625" style="8" bestFit="1" customWidth="1"/>
    <col min="41" max="41" width="10.42578125" style="7" bestFit="1" customWidth="1"/>
    <col min="42" max="42" width="9.42578125" style="7" bestFit="1" customWidth="1"/>
    <col min="43" max="43" width="10.140625" style="8" bestFit="1" customWidth="1"/>
    <col min="44" max="44" width="10.42578125" style="7" bestFit="1" customWidth="1"/>
    <col min="45" max="45" width="9.7109375" style="7" bestFit="1" customWidth="1"/>
    <col min="46" max="46" width="9.42578125" style="7" customWidth="1"/>
    <col min="47" max="47" width="11.42578125" style="7" bestFit="1" customWidth="1"/>
    <col min="48" max="48" width="11.85546875" style="7" bestFit="1" customWidth="1"/>
    <col min="49" max="49" width="11.42578125" style="7" bestFit="1" customWidth="1"/>
    <col min="50" max="50" width="11.85546875" style="7" bestFit="1" customWidth="1"/>
    <col min="51" max="51" width="11.42578125" style="7" bestFit="1" customWidth="1"/>
    <col min="52" max="52" width="11.85546875" style="7" bestFit="1" customWidth="1"/>
    <col min="53" max="16384" width="9.140625" style="5"/>
  </cols>
  <sheetData>
    <row r="1" spans="1:52" ht="23.25" x14ac:dyDescent="0.35">
      <c r="A1" s="1" t="s">
        <v>211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</row>
    <row r="2" spans="1:52" x14ac:dyDescent="0.2">
      <c r="A2" s="158"/>
      <c r="B2" s="159"/>
      <c r="C2" s="160"/>
      <c r="D2" s="161"/>
      <c r="E2" s="162"/>
      <c r="F2" s="161"/>
      <c r="G2" s="162"/>
      <c r="H2" s="161"/>
      <c r="I2" s="162"/>
      <c r="J2" s="162"/>
      <c r="K2" s="162"/>
      <c r="L2" s="162"/>
      <c r="M2" s="162"/>
      <c r="N2" s="162"/>
      <c r="O2" s="162"/>
      <c r="P2" s="162"/>
      <c r="Q2" s="161"/>
      <c r="R2" s="162"/>
      <c r="S2" s="162"/>
      <c r="T2" s="162"/>
      <c r="U2" s="161"/>
      <c r="V2" s="162"/>
      <c r="W2" s="161"/>
      <c r="X2" s="162"/>
      <c r="Y2" s="161"/>
      <c r="Z2" s="161"/>
      <c r="AA2" s="161"/>
      <c r="AB2" s="161"/>
      <c r="AC2" s="161"/>
      <c r="AD2" s="161"/>
      <c r="AE2" s="163"/>
      <c r="AF2" s="162"/>
      <c r="AG2" s="162"/>
      <c r="AH2" s="162"/>
      <c r="AI2" s="162"/>
      <c r="AJ2" s="161"/>
      <c r="AK2" s="162"/>
      <c r="AL2" s="161"/>
      <c r="AM2" s="162"/>
      <c r="AN2" s="163"/>
      <c r="AO2" s="162"/>
      <c r="AP2" s="162"/>
      <c r="AQ2" s="163"/>
      <c r="AR2" s="162"/>
      <c r="AS2" s="162"/>
      <c r="AT2" s="162"/>
      <c r="AU2" s="162"/>
      <c r="AV2" s="162"/>
      <c r="AW2" s="162"/>
      <c r="AX2" s="162"/>
      <c r="AY2" s="162"/>
      <c r="AZ2" s="164"/>
    </row>
    <row r="3" spans="1:52" ht="15.75" customHeight="1" x14ac:dyDescent="0.25">
      <c r="A3" s="154" t="s">
        <v>161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7"/>
    </row>
    <row r="4" spans="1:52" ht="15.75" x14ac:dyDescent="0.25">
      <c r="A4" s="152"/>
      <c r="B4" s="153"/>
      <c r="C4" s="136"/>
      <c r="D4" s="274" t="s">
        <v>115</v>
      </c>
      <c r="E4" s="276"/>
      <c r="F4" s="282" t="s">
        <v>116</v>
      </c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74" t="s">
        <v>117</v>
      </c>
      <c r="R4" s="275"/>
      <c r="S4" s="275"/>
      <c r="T4" s="276"/>
      <c r="U4" s="274" t="s">
        <v>118</v>
      </c>
      <c r="V4" s="275"/>
      <c r="W4" s="275"/>
      <c r="X4" s="275"/>
      <c r="Y4" s="275"/>
      <c r="Z4" s="275"/>
      <c r="AA4" s="275"/>
      <c r="AB4" s="275"/>
      <c r="AC4" s="275"/>
      <c r="AD4" s="276"/>
      <c r="AE4" s="274" t="s">
        <v>119</v>
      </c>
      <c r="AF4" s="275"/>
      <c r="AG4" s="275"/>
      <c r="AH4" s="275"/>
      <c r="AI4" s="276"/>
      <c r="AJ4" s="274" t="s">
        <v>120</v>
      </c>
      <c r="AK4" s="275"/>
      <c r="AL4" s="275"/>
      <c r="AM4" s="276"/>
      <c r="AN4" s="274" t="s">
        <v>121</v>
      </c>
      <c r="AO4" s="275"/>
      <c r="AP4" s="276"/>
      <c r="AQ4" s="277" t="s">
        <v>122</v>
      </c>
      <c r="AR4" s="278"/>
      <c r="AS4" s="278"/>
      <c r="AT4" s="278"/>
      <c r="AU4" s="279" t="s">
        <v>123</v>
      </c>
      <c r="AV4" s="280"/>
      <c r="AW4" s="280"/>
      <c r="AX4" s="280"/>
      <c r="AY4" s="280"/>
      <c r="AZ4" s="281"/>
    </row>
    <row r="5" spans="1:52" ht="84" customHeight="1" x14ac:dyDescent="0.2">
      <c r="A5" s="9" t="s">
        <v>0</v>
      </c>
      <c r="B5" s="10" t="s">
        <v>1</v>
      </c>
      <c r="C5" s="11" t="s">
        <v>2</v>
      </c>
      <c r="D5" s="12" t="s">
        <v>124</v>
      </c>
      <c r="E5" s="13" t="s">
        <v>125</v>
      </c>
      <c r="F5" s="12" t="s">
        <v>148</v>
      </c>
      <c r="G5" s="12" t="s">
        <v>149</v>
      </c>
      <c r="H5" s="12" t="s">
        <v>129</v>
      </c>
      <c r="I5" s="12" t="s">
        <v>130</v>
      </c>
      <c r="J5" s="13" t="s">
        <v>128</v>
      </c>
      <c r="K5" s="13" t="s">
        <v>128</v>
      </c>
      <c r="L5" s="13" t="s">
        <v>128</v>
      </c>
      <c r="M5" s="13" t="s">
        <v>128</v>
      </c>
      <c r="N5" s="13" t="s">
        <v>128</v>
      </c>
      <c r="O5" s="13" t="s">
        <v>128</v>
      </c>
      <c r="P5" s="13" t="s">
        <v>128</v>
      </c>
      <c r="Q5" s="12" t="s">
        <v>127</v>
      </c>
      <c r="R5" s="13" t="s">
        <v>125</v>
      </c>
      <c r="S5" s="13" t="s">
        <v>128</v>
      </c>
      <c r="T5" s="13" t="s">
        <v>128</v>
      </c>
      <c r="U5" s="12" t="s">
        <v>148</v>
      </c>
      <c r="V5" s="13" t="s">
        <v>149</v>
      </c>
      <c r="W5" s="12" t="s">
        <v>129</v>
      </c>
      <c r="X5" s="12" t="s">
        <v>130</v>
      </c>
      <c r="Y5" s="14" t="s">
        <v>131</v>
      </c>
      <c r="Z5" s="14" t="s">
        <v>132</v>
      </c>
      <c r="AA5" s="14" t="s">
        <v>133</v>
      </c>
      <c r="AB5" s="14" t="s">
        <v>134</v>
      </c>
      <c r="AC5" s="14" t="s">
        <v>135</v>
      </c>
      <c r="AD5" s="14" t="s">
        <v>136</v>
      </c>
      <c r="AE5" s="12" t="s">
        <v>126</v>
      </c>
      <c r="AF5" s="12" t="s">
        <v>125</v>
      </c>
      <c r="AG5" s="12" t="s">
        <v>128</v>
      </c>
      <c r="AH5" s="12" t="s">
        <v>128</v>
      </c>
      <c r="AI5" s="12" t="s">
        <v>128</v>
      </c>
      <c r="AJ5" s="12" t="s">
        <v>137</v>
      </c>
      <c r="AK5" s="12" t="s">
        <v>138</v>
      </c>
      <c r="AL5" s="12" t="s">
        <v>139</v>
      </c>
      <c r="AM5" s="12" t="s">
        <v>140</v>
      </c>
      <c r="AN5" s="137" t="s">
        <v>141</v>
      </c>
      <c r="AO5" s="13" t="s">
        <v>125</v>
      </c>
      <c r="AP5" s="13" t="s">
        <v>128</v>
      </c>
      <c r="AQ5" s="12" t="s">
        <v>141</v>
      </c>
      <c r="AR5" s="13" t="s">
        <v>125</v>
      </c>
      <c r="AS5" s="12" t="s">
        <v>142</v>
      </c>
      <c r="AT5" s="12" t="s">
        <v>142</v>
      </c>
      <c r="AU5" s="12" t="s">
        <v>143</v>
      </c>
      <c r="AV5" s="12" t="s">
        <v>144</v>
      </c>
      <c r="AW5" s="12" t="s">
        <v>145</v>
      </c>
      <c r="AX5" s="12" t="s">
        <v>146</v>
      </c>
      <c r="AY5" s="12" t="s">
        <v>147</v>
      </c>
      <c r="AZ5" s="13" t="s">
        <v>101</v>
      </c>
    </row>
    <row r="6" spans="1:52" ht="13.5" customHeight="1" x14ac:dyDescent="0.2">
      <c r="A6" s="15"/>
      <c r="B6" s="16"/>
      <c r="C6" s="17"/>
      <c r="D6" s="18"/>
      <c r="E6" s="19"/>
      <c r="F6" s="123"/>
      <c r="G6" s="19"/>
      <c r="H6" s="123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23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38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9"/>
      <c r="AZ6" s="19"/>
    </row>
    <row r="7" spans="1:52" ht="13.5" customHeight="1" x14ac:dyDescent="0.2">
      <c r="A7" s="15"/>
      <c r="B7" s="16"/>
      <c r="C7" s="23" t="s">
        <v>98</v>
      </c>
      <c r="D7" s="139" t="s">
        <v>88</v>
      </c>
      <c r="E7" s="140" t="s">
        <v>88</v>
      </c>
      <c r="F7" s="139" t="s">
        <v>88</v>
      </c>
      <c r="G7" s="140" t="s">
        <v>88</v>
      </c>
      <c r="H7" s="139" t="s">
        <v>88</v>
      </c>
      <c r="I7" s="140" t="s">
        <v>88</v>
      </c>
      <c r="J7" s="140" t="s">
        <v>88</v>
      </c>
      <c r="K7" s="140" t="s">
        <v>88</v>
      </c>
      <c r="L7" s="140" t="s">
        <v>88</v>
      </c>
      <c r="M7" s="140" t="s">
        <v>88</v>
      </c>
      <c r="N7" s="140" t="s">
        <v>88</v>
      </c>
      <c r="O7" s="140" t="s">
        <v>88</v>
      </c>
      <c r="P7" s="140" t="s">
        <v>88</v>
      </c>
      <c r="Q7" s="140" t="s">
        <v>88</v>
      </c>
      <c r="R7" s="140" t="s">
        <v>88</v>
      </c>
      <c r="S7" s="140" t="s">
        <v>88</v>
      </c>
      <c r="T7" s="140" t="s">
        <v>88</v>
      </c>
      <c r="U7" s="140" t="s">
        <v>88</v>
      </c>
      <c r="V7" s="140" t="s">
        <v>88</v>
      </c>
      <c r="W7" s="140" t="s">
        <v>88</v>
      </c>
      <c r="X7" s="140" t="s">
        <v>88</v>
      </c>
      <c r="Y7" s="140" t="s">
        <v>88</v>
      </c>
      <c r="Z7" s="140" t="s">
        <v>88</v>
      </c>
      <c r="AA7" s="140" t="s">
        <v>88</v>
      </c>
      <c r="AB7" s="140" t="s">
        <v>88</v>
      </c>
      <c r="AC7" s="140" t="s">
        <v>88</v>
      </c>
      <c r="AD7" s="140" t="s">
        <v>88</v>
      </c>
      <c r="AE7" s="140" t="s">
        <v>88</v>
      </c>
      <c r="AF7" s="140" t="s">
        <v>88</v>
      </c>
      <c r="AG7" s="140" t="s">
        <v>88</v>
      </c>
      <c r="AH7" s="140" t="s">
        <v>88</v>
      </c>
      <c r="AI7" s="140" t="s">
        <v>88</v>
      </c>
      <c r="AJ7" s="140" t="s">
        <v>88</v>
      </c>
      <c r="AK7" s="140" t="s">
        <v>88</v>
      </c>
      <c r="AL7" s="140" t="s">
        <v>88</v>
      </c>
      <c r="AM7" s="140" t="s">
        <v>88</v>
      </c>
      <c r="AN7" s="141" t="s">
        <v>88</v>
      </c>
      <c r="AO7" s="140" t="s">
        <v>88</v>
      </c>
      <c r="AP7" s="140" t="s">
        <v>88</v>
      </c>
      <c r="AQ7" s="139" t="s">
        <v>88</v>
      </c>
      <c r="AR7" s="140" t="s">
        <v>88</v>
      </c>
      <c r="AS7" s="140" t="s">
        <v>88</v>
      </c>
      <c r="AT7" s="140" t="s">
        <v>88</v>
      </c>
      <c r="AU7" s="139" t="s">
        <v>88</v>
      </c>
      <c r="AV7" s="140" t="s">
        <v>88</v>
      </c>
      <c r="AW7" s="139" t="s">
        <v>88</v>
      </c>
      <c r="AX7" s="140" t="s">
        <v>88</v>
      </c>
      <c r="AY7" s="140" t="s">
        <v>88</v>
      </c>
      <c r="AZ7" s="140" t="s">
        <v>88</v>
      </c>
    </row>
    <row r="8" spans="1:52" x14ac:dyDescent="0.2">
      <c r="A8" s="24"/>
      <c r="B8" s="25" t="s">
        <v>3</v>
      </c>
      <c r="C8" s="142"/>
      <c r="D8" s="143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145"/>
      <c r="S8" s="144"/>
      <c r="T8" s="144"/>
      <c r="U8" s="145"/>
      <c r="V8" s="146"/>
      <c r="W8" s="145"/>
      <c r="X8" s="144"/>
      <c r="Y8" s="147"/>
      <c r="Z8" s="147"/>
      <c r="AA8" s="148"/>
      <c r="AB8" s="148"/>
      <c r="AC8" s="148"/>
      <c r="AD8" s="148"/>
      <c r="AE8" s="145"/>
      <c r="AF8" s="144"/>
      <c r="AG8" s="143"/>
      <c r="AH8" s="143"/>
      <c r="AI8" s="149"/>
      <c r="AJ8" s="143"/>
      <c r="AK8" s="143"/>
      <c r="AL8" s="143"/>
      <c r="AM8" s="143"/>
      <c r="AN8" s="150"/>
      <c r="AO8" s="143"/>
      <c r="AP8" s="149"/>
      <c r="AQ8" s="143"/>
      <c r="AR8" s="143"/>
      <c r="AS8" s="149"/>
      <c r="AT8" s="149"/>
      <c r="AU8" s="143"/>
      <c r="AV8" s="143"/>
      <c r="AW8" s="143"/>
      <c r="AX8" s="143"/>
      <c r="AY8" s="144"/>
      <c r="AZ8" s="165"/>
    </row>
    <row r="9" spans="1:52" x14ac:dyDescent="0.2">
      <c r="A9" s="33"/>
      <c r="B9" s="34"/>
      <c r="C9" s="35"/>
      <c r="D9" s="35"/>
      <c r="E9" s="36"/>
      <c r="F9" s="35"/>
      <c r="G9" s="36"/>
      <c r="H9" s="35"/>
      <c r="I9" s="36"/>
      <c r="J9" s="116"/>
      <c r="K9" s="116"/>
      <c r="L9" s="116"/>
      <c r="M9" s="116"/>
      <c r="N9" s="116"/>
      <c r="O9" s="116"/>
      <c r="P9" s="116"/>
      <c r="Q9" s="35"/>
      <c r="R9" s="36"/>
      <c r="S9" s="116"/>
      <c r="T9" s="116"/>
      <c r="U9" s="37"/>
      <c r="V9" s="36"/>
      <c r="W9" s="37"/>
      <c r="X9" s="36"/>
      <c r="Y9" s="39"/>
      <c r="Z9" s="39"/>
      <c r="AA9" s="39"/>
      <c r="AB9" s="39"/>
      <c r="AC9" s="39"/>
      <c r="AD9" s="39"/>
      <c r="AE9" s="38"/>
      <c r="AF9" s="35"/>
      <c r="AG9" s="40"/>
      <c r="AH9" s="40"/>
      <c r="AI9" s="40"/>
      <c r="AJ9" s="37"/>
      <c r="AK9" s="36"/>
      <c r="AL9" s="35"/>
      <c r="AM9" s="36"/>
      <c r="AN9" s="38"/>
      <c r="AO9" s="35"/>
      <c r="AP9" s="40"/>
      <c r="AQ9" s="38"/>
      <c r="AR9" s="35"/>
      <c r="AS9" s="40"/>
      <c r="AT9" s="40"/>
      <c r="AU9" s="37"/>
      <c r="AV9" s="36"/>
      <c r="AW9" s="37"/>
      <c r="AX9" s="36"/>
      <c r="AY9" s="37"/>
      <c r="AZ9" s="36"/>
    </row>
    <row r="10" spans="1:52" x14ac:dyDescent="0.2">
      <c r="A10" s="41"/>
      <c r="B10" s="42" t="s">
        <v>97</v>
      </c>
      <c r="C10" s="43"/>
      <c r="D10" s="43"/>
      <c r="E10" s="44"/>
      <c r="F10" s="47"/>
      <c r="G10" s="44"/>
      <c r="H10" s="47"/>
      <c r="I10" s="44"/>
      <c r="J10" s="117"/>
      <c r="K10" s="117"/>
      <c r="L10" s="117"/>
      <c r="M10" s="117"/>
      <c r="N10" s="117"/>
      <c r="O10" s="117"/>
      <c r="P10" s="117"/>
      <c r="Q10" s="47"/>
      <c r="R10" s="44"/>
      <c r="S10" s="117"/>
      <c r="T10" s="117"/>
      <c r="U10" s="45"/>
      <c r="V10" s="44"/>
      <c r="W10" s="45"/>
      <c r="X10" s="44"/>
      <c r="Y10" s="48"/>
      <c r="Z10" s="48"/>
      <c r="AA10" s="48"/>
      <c r="AB10" s="48"/>
      <c r="AC10" s="48"/>
      <c r="AD10" s="48"/>
      <c r="AE10" s="46"/>
      <c r="AF10" s="44"/>
      <c r="AG10" s="49"/>
      <c r="AH10" s="49"/>
      <c r="AI10" s="49"/>
      <c r="AJ10" s="47"/>
      <c r="AK10" s="44"/>
      <c r="AL10" s="47"/>
      <c r="AM10" s="44"/>
      <c r="AN10" s="46"/>
      <c r="AO10" s="44"/>
      <c r="AP10" s="49"/>
      <c r="AQ10" s="46"/>
      <c r="AR10" s="44"/>
      <c r="AS10" s="49"/>
      <c r="AT10" s="49"/>
      <c r="AU10" s="45"/>
      <c r="AV10" s="44"/>
      <c r="AW10" s="47"/>
      <c r="AX10" s="44"/>
      <c r="AY10" s="45"/>
      <c r="AZ10" s="44"/>
    </row>
    <row r="11" spans="1:52" x14ac:dyDescent="0.2">
      <c r="A11" s="50" t="s">
        <v>17</v>
      </c>
      <c r="B11" s="51" t="s">
        <v>27</v>
      </c>
      <c r="C11" s="47">
        <v>33</v>
      </c>
      <c r="D11" s="47">
        <f t="shared" ref="D11:D28" si="0">ROUND(E11*C11,1)</f>
        <v>1759.7</v>
      </c>
      <c r="E11" s="120">
        <f>RCFs!$C$43</f>
        <v>53.323999999999998</v>
      </c>
      <c r="F11" s="124">
        <v>763.1</v>
      </c>
      <c r="G11" s="120">
        <f t="shared" ref="G11:G18" si="1">F11/C11</f>
        <v>23.124242424242425</v>
      </c>
      <c r="H11" s="124">
        <f t="shared" ref="H11:H18" si="2">ROUNDDOWN(F11*1.039,1)</f>
        <v>792.8</v>
      </c>
      <c r="I11" s="120">
        <f t="shared" ref="I11:I18" si="3">H11/C11</f>
        <v>24.024242424242424</v>
      </c>
      <c r="J11" s="49">
        <f t="shared" ref="J11:P20" si="4">ROUND($C11*$I11*J$6,1)</f>
        <v>872.1</v>
      </c>
      <c r="K11" s="49">
        <f t="shared" si="4"/>
        <v>1086.0999999999999</v>
      </c>
      <c r="L11" s="49">
        <f t="shared" si="4"/>
        <v>1165.4000000000001</v>
      </c>
      <c r="M11" s="49">
        <f t="shared" si="4"/>
        <v>1284.3</v>
      </c>
      <c r="N11" s="49">
        <f t="shared" si="4"/>
        <v>1585.6</v>
      </c>
      <c r="O11" s="49">
        <f t="shared" si="4"/>
        <v>1704.5</v>
      </c>
      <c r="P11" s="49">
        <f t="shared" si="4"/>
        <v>2378.4</v>
      </c>
      <c r="Q11" s="125">
        <v>774.4</v>
      </c>
      <c r="R11" s="120">
        <f t="shared" ref="R11:R18" si="5">Q11/C11</f>
        <v>23.466666666666665</v>
      </c>
      <c r="S11" s="49">
        <f>ROUNDDOWN($Q11*S$6,1)</f>
        <v>1006.7</v>
      </c>
      <c r="T11" s="49">
        <f>ROUNDDOWN($Q11*T$6,1)</f>
        <v>1161.5999999999999</v>
      </c>
      <c r="U11" s="125">
        <v>718.1</v>
      </c>
      <c r="V11" s="44">
        <f t="shared" ref="V11:V18" si="6">U11/C11</f>
        <v>21.760606060606062</v>
      </c>
      <c r="W11" s="125">
        <v>764.8</v>
      </c>
      <c r="X11" s="44">
        <f t="shared" ref="X11:X18" si="7">W11/C11</f>
        <v>23.175757575757576</v>
      </c>
      <c r="Y11" s="49">
        <f t="shared" ref="Y11:AD16" si="8">ROUND($C11*$X11*Y$6,1)</f>
        <v>841.3</v>
      </c>
      <c r="Z11" s="49">
        <f t="shared" si="8"/>
        <v>1047.8</v>
      </c>
      <c r="AA11" s="49">
        <f t="shared" si="8"/>
        <v>1239</v>
      </c>
      <c r="AB11" s="49">
        <f t="shared" si="8"/>
        <v>1124.3</v>
      </c>
      <c r="AC11" s="49">
        <f t="shared" si="8"/>
        <v>1659.6</v>
      </c>
      <c r="AD11" s="49">
        <f t="shared" si="8"/>
        <v>2294.4</v>
      </c>
      <c r="AE11" s="47">
        <v>773.8</v>
      </c>
      <c r="AF11" s="122">
        <f t="shared" ref="AF11:AF18" si="9">AE11/C11</f>
        <v>23.448484848484846</v>
      </c>
      <c r="AG11" s="49">
        <f t="shared" ref="AG11:AI28" si="10">ROUND($AE11*AG$6,1)</f>
        <v>1276.8</v>
      </c>
      <c r="AH11" s="49">
        <f t="shared" si="10"/>
        <v>1625</v>
      </c>
      <c r="AI11" s="49">
        <f t="shared" si="10"/>
        <v>2321.4</v>
      </c>
      <c r="AJ11" s="127">
        <v>755.6</v>
      </c>
      <c r="AK11" s="44">
        <f>AJ11/$C11</f>
        <v>22.896969696969698</v>
      </c>
      <c r="AL11" s="125">
        <v>1018.6</v>
      </c>
      <c r="AM11" s="44">
        <f>AL11/$C11</f>
        <v>30.866666666666667</v>
      </c>
      <c r="AN11" s="151">
        <f t="shared" ref="AN11:AN28" si="11">ROUNDDOWN(C11*AO11,1)</f>
        <v>811</v>
      </c>
      <c r="AO11" s="122">
        <f>RCFs!I$33</f>
        <v>24.576000000000001</v>
      </c>
      <c r="AP11" s="49">
        <f t="shared" ref="AP11:AP28" si="12">ROUNDDOWN($AN11*AP$6,1)</f>
        <v>1216.5</v>
      </c>
      <c r="AQ11" s="47">
        <v>805.7</v>
      </c>
      <c r="AR11" s="122">
        <f t="shared" ref="AR11:AR18" si="13">AQ11/C11</f>
        <v>24.415151515151518</v>
      </c>
      <c r="AS11" s="49">
        <f>ROUNDDOWN($AQ11*AS$6,1)</f>
        <v>1047.4000000000001</v>
      </c>
      <c r="AT11" s="49">
        <f>ROUNDDOWN($AQ11*AT$6,1)</f>
        <v>1168.2</v>
      </c>
      <c r="AU11" s="151">
        <v>0</v>
      </c>
      <c r="AV11" s="122">
        <f>AU11/$C11</f>
        <v>0</v>
      </c>
      <c r="AW11" s="47">
        <v>814.2</v>
      </c>
      <c r="AX11" s="122">
        <f>AW11/$C11</f>
        <v>24.672727272727276</v>
      </c>
      <c r="AY11" s="151">
        <f t="shared" ref="AY11:AY17" si="14">ROUNDDOWN(C11*AZ11,1)</f>
        <v>784.3</v>
      </c>
      <c r="AZ11" s="122">
        <f>RCFs!I$41</f>
        <v>23.768000000000001</v>
      </c>
    </row>
    <row r="12" spans="1:52" x14ac:dyDescent="0.2">
      <c r="A12" s="52" t="s">
        <v>4</v>
      </c>
      <c r="B12" s="51" t="s">
        <v>28</v>
      </c>
      <c r="C12" s="47">
        <v>15</v>
      </c>
      <c r="D12" s="47">
        <f t="shared" si="0"/>
        <v>799.9</v>
      </c>
      <c r="E12" s="120">
        <f>RCFs!$C$43</f>
        <v>53.323999999999998</v>
      </c>
      <c r="F12" s="124">
        <v>346.9</v>
      </c>
      <c r="G12" s="120">
        <f t="shared" si="1"/>
        <v>23.126666666666665</v>
      </c>
      <c r="H12" s="124">
        <f t="shared" si="2"/>
        <v>360.4</v>
      </c>
      <c r="I12" s="120">
        <f t="shared" si="3"/>
        <v>24.026666666666664</v>
      </c>
      <c r="J12" s="49">
        <f t="shared" si="4"/>
        <v>396.4</v>
      </c>
      <c r="K12" s="49">
        <f t="shared" si="4"/>
        <v>493.7</v>
      </c>
      <c r="L12" s="49">
        <f t="shared" si="4"/>
        <v>529.79999999999995</v>
      </c>
      <c r="M12" s="49">
        <f t="shared" si="4"/>
        <v>583.79999999999995</v>
      </c>
      <c r="N12" s="49">
        <f t="shared" si="4"/>
        <v>720.8</v>
      </c>
      <c r="O12" s="49">
        <f t="shared" si="4"/>
        <v>774.9</v>
      </c>
      <c r="P12" s="49">
        <f t="shared" si="4"/>
        <v>1081.2</v>
      </c>
      <c r="Q12" s="125">
        <v>352</v>
      </c>
      <c r="R12" s="120">
        <f t="shared" si="5"/>
        <v>23.466666666666665</v>
      </c>
      <c r="S12" s="49">
        <f t="shared" ref="S12:T28" si="15">ROUNDDOWN($Q12*S$6,1)</f>
        <v>457.6</v>
      </c>
      <c r="T12" s="49">
        <f t="shared" si="15"/>
        <v>528</v>
      </c>
      <c r="U12" s="125">
        <v>233.9</v>
      </c>
      <c r="V12" s="44">
        <f t="shared" si="6"/>
        <v>15.593333333333334</v>
      </c>
      <c r="W12" s="125">
        <v>249.2</v>
      </c>
      <c r="X12" s="44">
        <f t="shared" si="7"/>
        <v>16.613333333333333</v>
      </c>
      <c r="Y12" s="49">
        <f t="shared" si="8"/>
        <v>274.10000000000002</v>
      </c>
      <c r="Z12" s="49">
        <f t="shared" si="8"/>
        <v>341.4</v>
      </c>
      <c r="AA12" s="49">
        <f t="shared" si="8"/>
        <v>403.7</v>
      </c>
      <c r="AB12" s="49">
        <f t="shared" si="8"/>
        <v>366.3</v>
      </c>
      <c r="AC12" s="49">
        <f t="shared" si="8"/>
        <v>540.79999999999995</v>
      </c>
      <c r="AD12" s="49">
        <f t="shared" si="8"/>
        <v>747.6</v>
      </c>
      <c r="AE12" s="47">
        <v>351.6</v>
      </c>
      <c r="AF12" s="122">
        <f t="shared" si="9"/>
        <v>23.44</v>
      </c>
      <c r="AG12" s="49">
        <f t="shared" si="10"/>
        <v>580.1</v>
      </c>
      <c r="AH12" s="49">
        <f t="shared" si="10"/>
        <v>738.4</v>
      </c>
      <c r="AI12" s="49">
        <f t="shared" si="10"/>
        <v>1054.8</v>
      </c>
      <c r="AJ12" s="127">
        <v>343.5</v>
      </c>
      <c r="AK12" s="44">
        <f t="shared" ref="AK12:AK28" si="16">AJ12/$C12</f>
        <v>22.9</v>
      </c>
      <c r="AL12" s="125">
        <v>462.9</v>
      </c>
      <c r="AM12" s="44">
        <f t="shared" ref="AM12:AM28" si="17">AL12/$C12</f>
        <v>30.86</v>
      </c>
      <c r="AN12" s="151">
        <f t="shared" si="11"/>
        <v>368.6</v>
      </c>
      <c r="AO12" s="122">
        <f>RCFs!I$33</f>
        <v>24.576000000000001</v>
      </c>
      <c r="AP12" s="49">
        <f t="shared" si="12"/>
        <v>552.9</v>
      </c>
      <c r="AQ12" s="47">
        <v>366</v>
      </c>
      <c r="AR12" s="122">
        <f t="shared" si="13"/>
        <v>24.4</v>
      </c>
      <c r="AS12" s="49">
        <f t="shared" ref="AS12:AT28" si="18">ROUNDDOWN($AQ12*AS$6,1)</f>
        <v>475.8</v>
      </c>
      <c r="AT12" s="49">
        <f t="shared" si="18"/>
        <v>530.70000000000005</v>
      </c>
      <c r="AU12" s="47">
        <v>361.7</v>
      </c>
      <c r="AV12" s="122">
        <f t="shared" ref="AV12:AX28" si="19">AU12/$C12</f>
        <v>24.113333333333333</v>
      </c>
      <c r="AW12" s="47">
        <v>370.1</v>
      </c>
      <c r="AX12" s="122">
        <f t="shared" si="19"/>
        <v>24.673333333333336</v>
      </c>
      <c r="AY12" s="151">
        <f t="shared" si="14"/>
        <v>356.5</v>
      </c>
      <c r="AZ12" s="122">
        <f>RCFs!I$41</f>
        <v>23.768000000000001</v>
      </c>
    </row>
    <row r="13" spans="1:52" x14ac:dyDescent="0.2">
      <c r="A13" s="52" t="s">
        <v>18</v>
      </c>
      <c r="B13" s="51" t="s">
        <v>29</v>
      </c>
      <c r="C13" s="47">
        <v>45</v>
      </c>
      <c r="D13" s="47">
        <f t="shared" si="0"/>
        <v>2399.6</v>
      </c>
      <c r="E13" s="120">
        <f>RCFs!$C$43</f>
        <v>53.323999999999998</v>
      </c>
      <c r="F13" s="124">
        <v>1040.8</v>
      </c>
      <c r="G13" s="120">
        <f t="shared" si="1"/>
        <v>23.128888888888888</v>
      </c>
      <c r="H13" s="124">
        <f t="shared" si="2"/>
        <v>1081.3</v>
      </c>
      <c r="I13" s="120">
        <f t="shared" si="3"/>
        <v>24.028888888888886</v>
      </c>
      <c r="J13" s="49">
        <f t="shared" si="4"/>
        <v>1189.4000000000001</v>
      </c>
      <c r="K13" s="49">
        <f t="shared" si="4"/>
        <v>1481.4</v>
      </c>
      <c r="L13" s="49">
        <f t="shared" si="4"/>
        <v>1589.5</v>
      </c>
      <c r="M13" s="49">
        <f t="shared" si="4"/>
        <v>1751.7</v>
      </c>
      <c r="N13" s="49">
        <f t="shared" si="4"/>
        <v>2162.6</v>
      </c>
      <c r="O13" s="49">
        <f t="shared" si="4"/>
        <v>2324.8000000000002</v>
      </c>
      <c r="P13" s="49">
        <f t="shared" si="4"/>
        <v>3243.9</v>
      </c>
      <c r="Q13" s="125">
        <v>1056.0999999999999</v>
      </c>
      <c r="R13" s="120">
        <f t="shared" si="5"/>
        <v>23.468888888888888</v>
      </c>
      <c r="S13" s="49">
        <f t="shared" si="15"/>
        <v>1372.9</v>
      </c>
      <c r="T13" s="49">
        <f t="shared" si="15"/>
        <v>1584.1</v>
      </c>
      <c r="U13" s="125">
        <v>979.3</v>
      </c>
      <c r="V13" s="44">
        <f t="shared" si="6"/>
        <v>21.762222222222221</v>
      </c>
      <c r="W13" s="125">
        <v>1043</v>
      </c>
      <c r="X13" s="44">
        <f t="shared" si="7"/>
        <v>23.177777777777777</v>
      </c>
      <c r="Y13" s="49">
        <f t="shared" si="8"/>
        <v>1147.3</v>
      </c>
      <c r="Z13" s="49">
        <f t="shared" si="8"/>
        <v>1428.9</v>
      </c>
      <c r="AA13" s="49">
        <f t="shared" si="8"/>
        <v>1689.7</v>
      </c>
      <c r="AB13" s="49">
        <f t="shared" si="8"/>
        <v>1533.2</v>
      </c>
      <c r="AC13" s="49">
        <f t="shared" si="8"/>
        <v>2263.3000000000002</v>
      </c>
      <c r="AD13" s="49">
        <f t="shared" si="8"/>
        <v>3129</v>
      </c>
      <c r="AE13" s="47">
        <v>1055.2</v>
      </c>
      <c r="AF13" s="122">
        <f t="shared" si="9"/>
        <v>23.448888888888892</v>
      </c>
      <c r="AG13" s="49">
        <f t="shared" si="10"/>
        <v>1741.1</v>
      </c>
      <c r="AH13" s="49">
        <f t="shared" si="10"/>
        <v>2215.9</v>
      </c>
      <c r="AI13" s="49">
        <f t="shared" si="10"/>
        <v>3165.6</v>
      </c>
      <c r="AJ13" s="127">
        <v>0</v>
      </c>
      <c r="AK13" s="44">
        <f t="shared" si="16"/>
        <v>0</v>
      </c>
      <c r="AL13" s="125">
        <v>0</v>
      </c>
      <c r="AM13" s="44">
        <f t="shared" si="17"/>
        <v>0</v>
      </c>
      <c r="AN13" s="151">
        <f t="shared" si="11"/>
        <v>1105.9000000000001</v>
      </c>
      <c r="AO13" s="122">
        <f>RCFs!I$33</f>
        <v>24.576000000000001</v>
      </c>
      <c r="AP13" s="49">
        <f t="shared" si="12"/>
        <v>1658.8</v>
      </c>
      <c r="AQ13" s="47">
        <v>1098.8</v>
      </c>
      <c r="AR13" s="122">
        <f t="shared" si="13"/>
        <v>24.417777777777776</v>
      </c>
      <c r="AS13" s="49">
        <f>ROUNDDOWN($AQ13*AS$6,1)</f>
        <v>1428.4</v>
      </c>
      <c r="AT13" s="49">
        <f t="shared" si="18"/>
        <v>1593.2</v>
      </c>
      <c r="AU13" s="151">
        <v>0</v>
      </c>
      <c r="AV13" s="122">
        <f t="shared" si="19"/>
        <v>0</v>
      </c>
      <c r="AW13" s="47">
        <v>1110.3</v>
      </c>
      <c r="AX13" s="122">
        <f t="shared" si="19"/>
        <v>24.673333333333332</v>
      </c>
      <c r="AY13" s="151">
        <f t="shared" si="14"/>
        <v>1069.5</v>
      </c>
      <c r="AZ13" s="122">
        <f>RCFs!I$41</f>
        <v>23.768000000000001</v>
      </c>
    </row>
    <row r="14" spans="1:52" x14ac:dyDescent="0.2">
      <c r="A14" s="52" t="s">
        <v>5</v>
      </c>
      <c r="B14" s="51" t="s">
        <v>6</v>
      </c>
      <c r="C14" s="47">
        <v>15</v>
      </c>
      <c r="D14" s="47">
        <f t="shared" si="0"/>
        <v>799.9</v>
      </c>
      <c r="E14" s="120">
        <f>RCFs!$C$43</f>
        <v>53.323999999999998</v>
      </c>
      <c r="F14" s="124">
        <v>346.9</v>
      </c>
      <c r="G14" s="120">
        <f t="shared" si="1"/>
        <v>23.126666666666665</v>
      </c>
      <c r="H14" s="124">
        <f t="shared" si="2"/>
        <v>360.4</v>
      </c>
      <c r="I14" s="120">
        <f t="shared" si="3"/>
        <v>24.026666666666664</v>
      </c>
      <c r="J14" s="49">
        <f t="shared" si="4"/>
        <v>396.4</v>
      </c>
      <c r="K14" s="49">
        <f t="shared" si="4"/>
        <v>493.7</v>
      </c>
      <c r="L14" s="49">
        <f t="shared" si="4"/>
        <v>529.79999999999995</v>
      </c>
      <c r="M14" s="49">
        <f t="shared" si="4"/>
        <v>583.79999999999995</v>
      </c>
      <c r="N14" s="49">
        <f t="shared" si="4"/>
        <v>720.8</v>
      </c>
      <c r="O14" s="49">
        <f t="shared" si="4"/>
        <v>774.9</v>
      </c>
      <c r="P14" s="49">
        <f t="shared" si="4"/>
        <v>1081.2</v>
      </c>
      <c r="Q14" s="125">
        <v>352</v>
      </c>
      <c r="R14" s="120">
        <f t="shared" si="5"/>
        <v>23.466666666666665</v>
      </c>
      <c r="S14" s="49">
        <f t="shared" si="15"/>
        <v>457.6</v>
      </c>
      <c r="T14" s="49">
        <f t="shared" si="15"/>
        <v>528</v>
      </c>
      <c r="U14" s="125">
        <v>326.3</v>
      </c>
      <c r="V14" s="44">
        <f t="shared" si="6"/>
        <v>21.753333333333334</v>
      </c>
      <c r="W14" s="125">
        <v>347.5</v>
      </c>
      <c r="X14" s="44">
        <f t="shared" si="7"/>
        <v>23.166666666666668</v>
      </c>
      <c r="Y14" s="49">
        <f t="shared" si="8"/>
        <v>382.3</v>
      </c>
      <c r="Z14" s="49">
        <f t="shared" si="8"/>
        <v>476.1</v>
      </c>
      <c r="AA14" s="49">
        <f t="shared" si="8"/>
        <v>563</v>
      </c>
      <c r="AB14" s="49">
        <f t="shared" si="8"/>
        <v>510.8</v>
      </c>
      <c r="AC14" s="49">
        <f t="shared" si="8"/>
        <v>754.1</v>
      </c>
      <c r="AD14" s="49">
        <f t="shared" si="8"/>
        <v>1042.5</v>
      </c>
      <c r="AE14" s="47">
        <v>351.6</v>
      </c>
      <c r="AF14" s="122">
        <f t="shared" si="9"/>
        <v>23.44</v>
      </c>
      <c r="AG14" s="49">
        <f t="shared" si="10"/>
        <v>580.1</v>
      </c>
      <c r="AH14" s="49">
        <f t="shared" si="10"/>
        <v>738.4</v>
      </c>
      <c r="AI14" s="49">
        <f t="shared" si="10"/>
        <v>1054.8</v>
      </c>
      <c r="AJ14" s="127">
        <v>343.5</v>
      </c>
      <c r="AK14" s="44">
        <f t="shared" si="16"/>
        <v>22.9</v>
      </c>
      <c r="AL14" s="125">
        <v>462.9</v>
      </c>
      <c r="AM14" s="44">
        <f t="shared" si="17"/>
        <v>30.86</v>
      </c>
      <c r="AN14" s="151">
        <f t="shared" si="11"/>
        <v>368.6</v>
      </c>
      <c r="AO14" s="122">
        <f>RCFs!I$33</f>
        <v>24.576000000000001</v>
      </c>
      <c r="AP14" s="49">
        <f t="shared" si="12"/>
        <v>552.9</v>
      </c>
      <c r="AQ14" s="47">
        <v>366</v>
      </c>
      <c r="AR14" s="122">
        <f t="shared" si="13"/>
        <v>24.4</v>
      </c>
      <c r="AS14" s="49">
        <f t="shared" ref="AS14:AS28" si="20">ROUNDDOWN($AQ14*AS$6,1)</f>
        <v>475.8</v>
      </c>
      <c r="AT14" s="49">
        <f t="shared" si="18"/>
        <v>530.70000000000005</v>
      </c>
      <c r="AU14" s="47">
        <v>361.7</v>
      </c>
      <c r="AV14" s="122">
        <f t="shared" si="19"/>
        <v>24.113333333333333</v>
      </c>
      <c r="AW14" s="47">
        <v>370.1</v>
      </c>
      <c r="AX14" s="122">
        <f t="shared" si="19"/>
        <v>24.673333333333336</v>
      </c>
      <c r="AY14" s="151">
        <f t="shared" si="14"/>
        <v>356.5</v>
      </c>
      <c r="AZ14" s="122">
        <f>RCFs!I$41</f>
        <v>23.768000000000001</v>
      </c>
    </row>
    <row r="15" spans="1:52" x14ac:dyDescent="0.2">
      <c r="A15" s="52" t="s">
        <v>7</v>
      </c>
      <c r="B15" s="51" t="s">
        <v>8</v>
      </c>
      <c r="C15" s="47">
        <v>5</v>
      </c>
      <c r="D15" s="47">
        <f t="shared" si="0"/>
        <v>266.60000000000002</v>
      </c>
      <c r="E15" s="120">
        <f>RCFs!$C$43</f>
        <v>53.323999999999998</v>
      </c>
      <c r="F15" s="124">
        <v>115.8</v>
      </c>
      <c r="G15" s="120">
        <f t="shared" si="1"/>
        <v>23.16</v>
      </c>
      <c r="H15" s="124">
        <f t="shared" si="2"/>
        <v>120.3</v>
      </c>
      <c r="I15" s="120">
        <f t="shared" si="3"/>
        <v>24.06</v>
      </c>
      <c r="J15" s="49">
        <f t="shared" si="4"/>
        <v>132.30000000000001</v>
      </c>
      <c r="K15" s="49">
        <f t="shared" si="4"/>
        <v>164.8</v>
      </c>
      <c r="L15" s="49">
        <f t="shared" si="4"/>
        <v>176.8</v>
      </c>
      <c r="M15" s="49">
        <f t="shared" si="4"/>
        <v>194.9</v>
      </c>
      <c r="N15" s="49">
        <f t="shared" si="4"/>
        <v>240.6</v>
      </c>
      <c r="O15" s="49">
        <f t="shared" si="4"/>
        <v>258.60000000000002</v>
      </c>
      <c r="P15" s="49">
        <f t="shared" si="4"/>
        <v>360.9</v>
      </c>
      <c r="Q15" s="125">
        <v>117.7</v>
      </c>
      <c r="R15" s="120">
        <f t="shared" si="5"/>
        <v>23.54</v>
      </c>
      <c r="S15" s="49">
        <f t="shared" si="15"/>
        <v>153</v>
      </c>
      <c r="T15" s="49">
        <f t="shared" si="15"/>
        <v>176.5</v>
      </c>
      <c r="U15" s="125">
        <v>108.7</v>
      </c>
      <c r="V15" s="44">
        <f t="shared" si="6"/>
        <v>21.740000000000002</v>
      </c>
      <c r="W15" s="125">
        <v>115.7</v>
      </c>
      <c r="X15" s="44">
        <f t="shared" si="7"/>
        <v>23.14</v>
      </c>
      <c r="Y15" s="49">
        <f t="shared" si="8"/>
        <v>127.3</v>
      </c>
      <c r="Z15" s="49">
        <f t="shared" si="8"/>
        <v>158.5</v>
      </c>
      <c r="AA15" s="49">
        <f t="shared" si="8"/>
        <v>187.4</v>
      </c>
      <c r="AB15" s="49">
        <f t="shared" si="8"/>
        <v>170.1</v>
      </c>
      <c r="AC15" s="49">
        <f t="shared" si="8"/>
        <v>251.1</v>
      </c>
      <c r="AD15" s="49">
        <f t="shared" si="8"/>
        <v>347.1</v>
      </c>
      <c r="AE15" s="47">
        <v>117.6</v>
      </c>
      <c r="AF15" s="122">
        <f t="shared" si="9"/>
        <v>23.52</v>
      </c>
      <c r="AG15" s="49">
        <f t="shared" si="10"/>
        <v>194</v>
      </c>
      <c r="AH15" s="49">
        <f t="shared" si="10"/>
        <v>247</v>
      </c>
      <c r="AI15" s="49">
        <f t="shared" si="10"/>
        <v>352.8</v>
      </c>
      <c r="AJ15" s="127">
        <v>114.6</v>
      </c>
      <c r="AK15" s="44">
        <f t="shared" si="16"/>
        <v>22.919999999999998</v>
      </c>
      <c r="AL15" s="125">
        <v>154.30000000000001</v>
      </c>
      <c r="AM15" s="44">
        <f t="shared" si="17"/>
        <v>30.860000000000003</v>
      </c>
      <c r="AN15" s="151">
        <f t="shared" si="11"/>
        <v>122.8</v>
      </c>
      <c r="AO15" s="122">
        <f>RCFs!I$33</f>
        <v>24.576000000000001</v>
      </c>
      <c r="AP15" s="49">
        <f t="shared" si="12"/>
        <v>184.2</v>
      </c>
      <c r="AQ15" s="47">
        <v>121.9</v>
      </c>
      <c r="AR15" s="122">
        <f t="shared" si="13"/>
        <v>24.380000000000003</v>
      </c>
      <c r="AS15" s="49">
        <f t="shared" si="20"/>
        <v>158.4</v>
      </c>
      <c r="AT15" s="49">
        <f t="shared" si="18"/>
        <v>176.7</v>
      </c>
      <c r="AU15" s="47">
        <v>120.6</v>
      </c>
      <c r="AV15" s="122">
        <f t="shared" si="19"/>
        <v>24.119999999999997</v>
      </c>
      <c r="AW15" s="47">
        <v>123.4</v>
      </c>
      <c r="AX15" s="122">
        <f t="shared" si="19"/>
        <v>24.68</v>
      </c>
      <c r="AY15" s="151">
        <f t="shared" si="14"/>
        <v>118.8</v>
      </c>
      <c r="AZ15" s="122">
        <f>RCFs!I$41</f>
        <v>23.768000000000001</v>
      </c>
    </row>
    <row r="16" spans="1:52" x14ac:dyDescent="0.2">
      <c r="A16" s="52" t="s">
        <v>9</v>
      </c>
      <c r="B16" s="51" t="s">
        <v>10</v>
      </c>
      <c r="C16" s="47">
        <v>6</v>
      </c>
      <c r="D16" s="47">
        <f t="shared" si="0"/>
        <v>319.89999999999998</v>
      </c>
      <c r="E16" s="120">
        <f>RCFs!$C$43</f>
        <v>53.323999999999998</v>
      </c>
      <c r="F16" s="124">
        <v>138.69999999999999</v>
      </c>
      <c r="G16" s="120">
        <f t="shared" si="1"/>
        <v>23.116666666666664</v>
      </c>
      <c r="H16" s="124">
        <f t="shared" si="2"/>
        <v>144.1</v>
      </c>
      <c r="I16" s="120">
        <f t="shared" si="3"/>
        <v>24.016666666666666</v>
      </c>
      <c r="J16" s="49">
        <f t="shared" si="4"/>
        <v>158.5</v>
      </c>
      <c r="K16" s="49">
        <f t="shared" si="4"/>
        <v>197.4</v>
      </c>
      <c r="L16" s="49">
        <f t="shared" si="4"/>
        <v>211.8</v>
      </c>
      <c r="M16" s="49">
        <f t="shared" si="4"/>
        <v>233.4</v>
      </c>
      <c r="N16" s="49">
        <f t="shared" si="4"/>
        <v>288.2</v>
      </c>
      <c r="O16" s="49">
        <f t="shared" si="4"/>
        <v>309.8</v>
      </c>
      <c r="P16" s="49">
        <f t="shared" si="4"/>
        <v>432.3</v>
      </c>
      <c r="Q16" s="125">
        <v>141</v>
      </c>
      <c r="R16" s="120">
        <f t="shared" si="5"/>
        <v>23.5</v>
      </c>
      <c r="S16" s="49">
        <f t="shared" si="15"/>
        <v>183.3</v>
      </c>
      <c r="T16" s="49">
        <f t="shared" si="15"/>
        <v>211.5</v>
      </c>
      <c r="U16" s="125">
        <v>130.6</v>
      </c>
      <c r="V16" s="44">
        <f t="shared" si="6"/>
        <v>21.766666666666666</v>
      </c>
      <c r="W16" s="125">
        <v>139.19999999999999</v>
      </c>
      <c r="X16" s="44">
        <f t="shared" si="7"/>
        <v>23.2</v>
      </c>
      <c r="Y16" s="49">
        <f t="shared" si="8"/>
        <v>153.1</v>
      </c>
      <c r="Z16" s="49">
        <f t="shared" si="8"/>
        <v>190.7</v>
      </c>
      <c r="AA16" s="49">
        <f t="shared" si="8"/>
        <v>225.5</v>
      </c>
      <c r="AB16" s="49">
        <f t="shared" si="8"/>
        <v>204.6</v>
      </c>
      <c r="AC16" s="49">
        <f t="shared" si="8"/>
        <v>302.10000000000002</v>
      </c>
      <c r="AD16" s="49">
        <f t="shared" si="8"/>
        <v>417.6</v>
      </c>
      <c r="AE16" s="47">
        <v>140.80000000000001</v>
      </c>
      <c r="AF16" s="122">
        <f t="shared" si="9"/>
        <v>23.466666666666669</v>
      </c>
      <c r="AG16" s="49">
        <f t="shared" si="10"/>
        <v>232.3</v>
      </c>
      <c r="AH16" s="49">
        <f t="shared" si="10"/>
        <v>295.7</v>
      </c>
      <c r="AI16" s="49">
        <f t="shared" si="10"/>
        <v>422.4</v>
      </c>
      <c r="AJ16" s="127">
        <v>137.5</v>
      </c>
      <c r="AK16" s="44">
        <f t="shared" si="16"/>
        <v>22.916666666666668</v>
      </c>
      <c r="AL16" s="125">
        <v>185.4</v>
      </c>
      <c r="AM16" s="44">
        <f t="shared" si="17"/>
        <v>30.900000000000002</v>
      </c>
      <c r="AN16" s="151">
        <f t="shared" si="11"/>
        <v>147.4</v>
      </c>
      <c r="AO16" s="122">
        <f>RCFs!I$33</f>
        <v>24.576000000000001</v>
      </c>
      <c r="AP16" s="49">
        <f t="shared" si="12"/>
        <v>221.1</v>
      </c>
      <c r="AQ16" s="47">
        <v>146.6</v>
      </c>
      <c r="AR16" s="122">
        <f t="shared" si="13"/>
        <v>24.433333333333334</v>
      </c>
      <c r="AS16" s="49">
        <f t="shared" si="20"/>
        <v>190.5</v>
      </c>
      <c r="AT16" s="49">
        <f t="shared" si="18"/>
        <v>212.5</v>
      </c>
      <c r="AU16" s="47">
        <v>144.69999999999999</v>
      </c>
      <c r="AV16" s="122">
        <f t="shared" si="19"/>
        <v>24.116666666666664</v>
      </c>
      <c r="AW16" s="47">
        <v>148.04</v>
      </c>
      <c r="AX16" s="122">
        <f t="shared" si="19"/>
        <v>24.673333333333332</v>
      </c>
      <c r="AY16" s="151">
        <f t="shared" si="14"/>
        <v>142.6</v>
      </c>
      <c r="AZ16" s="122">
        <f>RCFs!I$41</f>
        <v>23.768000000000001</v>
      </c>
    </row>
    <row r="17" spans="1:52" x14ac:dyDescent="0.2">
      <c r="A17" s="52" t="s">
        <v>11</v>
      </c>
      <c r="B17" s="51" t="s">
        <v>12</v>
      </c>
      <c r="C17" s="47">
        <v>8</v>
      </c>
      <c r="D17" s="47">
        <f t="shared" si="0"/>
        <v>426.6</v>
      </c>
      <c r="E17" s="120">
        <f>RCFs!$C$43</f>
        <v>53.323999999999998</v>
      </c>
      <c r="F17" s="124">
        <v>184.9</v>
      </c>
      <c r="G17" s="120">
        <f t="shared" si="1"/>
        <v>23.112500000000001</v>
      </c>
      <c r="H17" s="124">
        <f t="shared" si="2"/>
        <v>192.1</v>
      </c>
      <c r="I17" s="120">
        <f t="shared" si="3"/>
        <v>24.012499999999999</v>
      </c>
      <c r="J17" s="49">
        <f t="shared" si="4"/>
        <v>211.3</v>
      </c>
      <c r="K17" s="49">
        <f t="shared" si="4"/>
        <v>263.2</v>
      </c>
      <c r="L17" s="49">
        <f t="shared" si="4"/>
        <v>282.39999999999998</v>
      </c>
      <c r="M17" s="49">
        <f t="shared" si="4"/>
        <v>311.2</v>
      </c>
      <c r="N17" s="49">
        <f t="shared" si="4"/>
        <v>384.2</v>
      </c>
      <c r="O17" s="49">
        <f t="shared" si="4"/>
        <v>413</v>
      </c>
      <c r="P17" s="49">
        <f t="shared" si="4"/>
        <v>576.29999999999995</v>
      </c>
      <c r="Q17" s="125">
        <v>187.7</v>
      </c>
      <c r="R17" s="120">
        <f t="shared" si="5"/>
        <v>23.462499999999999</v>
      </c>
      <c r="S17" s="49">
        <f t="shared" si="15"/>
        <v>244</v>
      </c>
      <c r="T17" s="49">
        <f t="shared" si="15"/>
        <v>281.5</v>
      </c>
      <c r="U17" s="125">
        <v>174.2</v>
      </c>
      <c r="V17" s="44">
        <f t="shared" si="6"/>
        <v>21.774999999999999</v>
      </c>
      <c r="W17" s="125">
        <v>185.5</v>
      </c>
      <c r="X17" s="44">
        <f t="shared" si="7"/>
        <v>23.1875</v>
      </c>
      <c r="Y17" s="49">
        <f t="shared" ref="Y17:Y27" si="21">ROUND($C17*$X17*Y$6,1)</f>
        <v>204.1</v>
      </c>
      <c r="Z17" s="49">
        <v>0</v>
      </c>
      <c r="AA17" s="49">
        <f t="shared" ref="AA17:AD20" si="22">ROUND($C17*$X17*AA$6,1)</f>
        <v>300.5</v>
      </c>
      <c r="AB17" s="49">
        <f t="shared" si="22"/>
        <v>272.7</v>
      </c>
      <c r="AC17" s="49">
        <f t="shared" si="22"/>
        <v>402.5</v>
      </c>
      <c r="AD17" s="49">
        <f t="shared" si="22"/>
        <v>556.5</v>
      </c>
      <c r="AE17" s="47">
        <v>187.2</v>
      </c>
      <c r="AF17" s="122">
        <f t="shared" si="9"/>
        <v>23.4</v>
      </c>
      <c r="AG17" s="49">
        <f t="shared" si="10"/>
        <v>308.89999999999998</v>
      </c>
      <c r="AH17" s="49">
        <f t="shared" si="10"/>
        <v>393.1</v>
      </c>
      <c r="AI17" s="49">
        <f t="shared" si="10"/>
        <v>561.6</v>
      </c>
      <c r="AJ17" s="127">
        <v>183.1</v>
      </c>
      <c r="AK17" s="44">
        <f t="shared" si="16"/>
        <v>22.887499999999999</v>
      </c>
      <c r="AL17" s="125">
        <v>246.8</v>
      </c>
      <c r="AM17" s="44">
        <f t="shared" si="17"/>
        <v>30.85</v>
      </c>
      <c r="AN17" s="151">
        <f t="shared" si="11"/>
        <v>196.6</v>
      </c>
      <c r="AO17" s="122">
        <f>RCFs!I$33</f>
        <v>24.576000000000001</v>
      </c>
      <c r="AP17" s="49">
        <f t="shared" si="12"/>
        <v>294.89999999999998</v>
      </c>
      <c r="AQ17" s="47">
        <v>195.4</v>
      </c>
      <c r="AR17" s="122">
        <f t="shared" si="13"/>
        <v>24.425000000000001</v>
      </c>
      <c r="AS17" s="49">
        <f t="shared" si="20"/>
        <v>254</v>
      </c>
      <c r="AT17" s="49">
        <f t="shared" si="18"/>
        <v>283.3</v>
      </c>
      <c r="AU17" s="47">
        <v>192.8</v>
      </c>
      <c r="AV17" s="122">
        <f t="shared" si="19"/>
        <v>24.1</v>
      </c>
      <c r="AW17" s="47">
        <v>197.38</v>
      </c>
      <c r="AX17" s="122">
        <f t="shared" si="19"/>
        <v>24.672499999999999</v>
      </c>
      <c r="AY17" s="151">
        <f t="shared" si="14"/>
        <v>190.1</v>
      </c>
      <c r="AZ17" s="122">
        <f>RCFs!I$41</f>
        <v>23.768000000000001</v>
      </c>
    </row>
    <row r="18" spans="1:52" x14ac:dyDescent="0.2">
      <c r="A18" s="52" t="s">
        <v>13</v>
      </c>
      <c r="B18" s="51" t="s">
        <v>14</v>
      </c>
      <c r="C18" s="47">
        <v>14</v>
      </c>
      <c r="D18" s="47">
        <f t="shared" si="0"/>
        <v>746.5</v>
      </c>
      <c r="E18" s="120">
        <f>RCFs!$C$43</f>
        <v>53.323999999999998</v>
      </c>
      <c r="F18" s="124">
        <v>323.8</v>
      </c>
      <c r="G18" s="120">
        <f t="shared" si="1"/>
        <v>23.12857142857143</v>
      </c>
      <c r="H18" s="124">
        <f t="shared" si="2"/>
        <v>336.4</v>
      </c>
      <c r="I18" s="120">
        <f t="shared" si="3"/>
        <v>24.028571428571428</v>
      </c>
      <c r="J18" s="49">
        <f t="shared" si="4"/>
        <v>370</v>
      </c>
      <c r="K18" s="49">
        <f t="shared" si="4"/>
        <v>460.9</v>
      </c>
      <c r="L18" s="49">
        <f t="shared" si="4"/>
        <v>494.5</v>
      </c>
      <c r="M18" s="49">
        <f t="shared" si="4"/>
        <v>545</v>
      </c>
      <c r="N18" s="49">
        <f t="shared" si="4"/>
        <v>672.8</v>
      </c>
      <c r="O18" s="49">
        <f t="shared" si="4"/>
        <v>723.3</v>
      </c>
      <c r="P18" s="49">
        <f t="shared" si="4"/>
        <v>1009.2</v>
      </c>
      <c r="Q18" s="125">
        <v>328.7</v>
      </c>
      <c r="R18" s="120">
        <f t="shared" si="5"/>
        <v>23.478571428571428</v>
      </c>
      <c r="S18" s="49">
        <f t="shared" si="15"/>
        <v>427.3</v>
      </c>
      <c r="T18" s="49">
        <f t="shared" si="15"/>
        <v>493</v>
      </c>
      <c r="U18" s="125">
        <v>305</v>
      </c>
      <c r="V18" s="44">
        <f t="shared" si="6"/>
        <v>21.785714285714285</v>
      </c>
      <c r="W18" s="125">
        <v>324.89999999999998</v>
      </c>
      <c r="X18" s="44">
        <f t="shared" si="7"/>
        <v>23.207142857142856</v>
      </c>
      <c r="Y18" s="49">
        <f t="shared" si="21"/>
        <v>357.4</v>
      </c>
      <c r="Z18" s="49">
        <f t="shared" ref="Z18:Z23" si="23">ROUND($C18*$X18*Z$6,1)</f>
        <v>445.1</v>
      </c>
      <c r="AA18" s="49">
        <f t="shared" si="22"/>
        <v>526.29999999999995</v>
      </c>
      <c r="AB18" s="49">
        <f t="shared" si="22"/>
        <v>477.6</v>
      </c>
      <c r="AC18" s="49">
        <f t="shared" si="22"/>
        <v>705</v>
      </c>
      <c r="AD18" s="49">
        <f t="shared" si="22"/>
        <v>974.7</v>
      </c>
      <c r="AE18" s="47">
        <v>328.4</v>
      </c>
      <c r="AF18" s="122">
        <f t="shared" si="9"/>
        <v>23.457142857142856</v>
      </c>
      <c r="AG18" s="49">
        <f t="shared" si="10"/>
        <v>541.9</v>
      </c>
      <c r="AH18" s="49">
        <f t="shared" si="10"/>
        <v>689.6</v>
      </c>
      <c r="AI18" s="49">
        <f t="shared" si="10"/>
        <v>985.2</v>
      </c>
      <c r="AJ18" s="127">
        <v>320.60000000000002</v>
      </c>
      <c r="AK18" s="44">
        <f t="shared" si="16"/>
        <v>22.900000000000002</v>
      </c>
      <c r="AL18" s="125">
        <v>432.2</v>
      </c>
      <c r="AM18" s="44">
        <f t="shared" si="17"/>
        <v>30.87142857142857</v>
      </c>
      <c r="AN18" s="151">
        <f t="shared" si="11"/>
        <v>344</v>
      </c>
      <c r="AO18" s="122">
        <f>RCFs!I$33</f>
        <v>24.576000000000001</v>
      </c>
      <c r="AP18" s="49">
        <f t="shared" si="12"/>
        <v>516</v>
      </c>
      <c r="AQ18" s="47">
        <v>341.7</v>
      </c>
      <c r="AR18" s="122">
        <f t="shared" si="13"/>
        <v>24.407142857142855</v>
      </c>
      <c r="AS18" s="49">
        <f t="shared" si="20"/>
        <v>444.2</v>
      </c>
      <c r="AT18" s="49">
        <f t="shared" si="18"/>
        <v>495.4</v>
      </c>
      <c r="AU18" s="47">
        <v>337.5</v>
      </c>
      <c r="AV18" s="122">
        <f t="shared" si="19"/>
        <v>24.107142857142858</v>
      </c>
      <c r="AW18" s="47">
        <v>345.42</v>
      </c>
      <c r="AX18" s="122">
        <f t="shared" si="19"/>
        <v>24.672857142857143</v>
      </c>
      <c r="AY18" s="151">
        <f>ROUNDDOWN(C18*AZ18,1)</f>
        <v>0</v>
      </c>
      <c r="AZ18" s="122">
        <f>RCFs!L$41</f>
        <v>0</v>
      </c>
    </row>
    <row r="19" spans="1:52" x14ac:dyDescent="0.2">
      <c r="A19" s="52" t="s">
        <v>22</v>
      </c>
      <c r="B19" s="51" t="s">
        <v>30</v>
      </c>
      <c r="C19" s="47">
        <v>0</v>
      </c>
      <c r="D19" s="47">
        <f t="shared" si="0"/>
        <v>0</v>
      </c>
      <c r="E19" s="120">
        <v>0</v>
      </c>
      <c r="F19" s="124">
        <v>0</v>
      </c>
      <c r="G19" s="120">
        <v>0</v>
      </c>
      <c r="H19" s="124">
        <v>0</v>
      </c>
      <c r="I19" s="120">
        <v>0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9">
        <f t="shared" si="4"/>
        <v>0</v>
      </c>
      <c r="O19" s="49">
        <f t="shared" si="4"/>
        <v>0</v>
      </c>
      <c r="P19" s="49">
        <f t="shared" si="4"/>
        <v>0</v>
      </c>
      <c r="Q19" s="124">
        <v>0</v>
      </c>
      <c r="R19" s="120">
        <v>0</v>
      </c>
      <c r="S19" s="49">
        <f t="shared" si="15"/>
        <v>0</v>
      </c>
      <c r="T19" s="49">
        <f t="shared" si="15"/>
        <v>0</v>
      </c>
      <c r="U19" s="125">
        <v>0</v>
      </c>
      <c r="V19" s="44">
        <v>0</v>
      </c>
      <c r="W19" s="125">
        <v>0</v>
      </c>
      <c r="X19" s="44">
        <v>0</v>
      </c>
      <c r="Y19" s="49">
        <f t="shared" si="21"/>
        <v>0</v>
      </c>
      <c r="Z19" s="49">
        <f t="shared" si="23"/>
        <v>0</v>
      </c>
      <c r="AA19" s="49">
        <f t="shared" si="22"/>
        <v>0</v>
      </c>
      <c r="AB19" s="49">
        <f t="shared" si="22"/>
        <v>0</v>
      </c>
      <c r="AC19" s="49">
        <f t="shared" si="22"/>
        <v>0</v>
      </c>
      <c r="AD19" s="49">
        <f t="shared" si="22"/>
        <v>0</v>
      </c>
      <c r="AE19" s="47">
        <v>0</v>
      </c>
      <c r="AF19" s="122">
        <v>0</v>
      </c>
      <c r="AG19" s="49">
        <f t="shared" si="10"/>
        <v>0</v>
      </c>
      <c r="AH19" s="49">
        <f t="shared" si="10"/>
        <v>0</v>
      </c>
      <c r="AI19" s="49">
        <f t="shared" si="10"/>
        <v>0</v>
      </c>
      <c r="AJ19" s="127">
        <v>0</v>
      </c>
      <c r="AK19" s="44">
        <v>0</v>
      </c>
      <c r="AL19" s="125">
        <v>0</v>
      </c>
      <c r="AM19" s="44">
        <v>0</v>
      </c>
      <c r="AN19" s="151">
        <f t="shared" si="11"/>
        <v>0</v>
      </c>
      <c r="AO19" s="122">
        <f>RCFs!I$33</f>
        <v>24.576000000000001</v>
      </c>
      <c r="AP19" s="49">
        <f t="shared" ref="AP19" si="24">ROUNDDOWN($AN19*AP$6,1)</f>
        <v>0</v>
      </c>
      <c r="AQ19" s="47">
        <v>0</v>
      </c>
      <c r="AR19" s="122">
        <v>0</v>
      </c>
      <c r="AS19" s="49">
        <f t="shared" si="20"/>
        <v>0</v>
      </c>
      <c r="AT19" s="49">
        <f t="shared" si="18"/>
        <v>0</v>
      </c>
      <c r="AU19" s="47">
        <v>217.3</v>
      </c>
      <c r="AV19" s="122">
        <v>0</v>
      </c>
      <c r="AW19" s="47">
        <v>0</v>
      </c>
      <c r="AX19" s="122">
        <v>0</v>
      </c>
      <c r="AY19" s="151">
        <f>ROUNDDOWN(C19*AZ19,1)</f>
        <v>0</v>
      </c>
      <c r="AZ19" s="122"/>
    </row>
    <row r="20" spans="1:52" x14ac:dyDescent="0.2">
      <c r="A20" s="52" t="s">
        <v>23</v>
      </c>
      <c r="B20" s="51" t="s">
        <v>31</v>
      </c>
      <c r="C20" s="47">
        <v>0</v>
      </c>
      <c r="D20" s="47">
        <f t="shared" si="0"/>
        <v>0</v>
      </c>
      <c r="E20" s="120">
        <v>0</v>
      </c>
      <c r="F20" s="124">
        <v>0</v>
      </c>
      <c r="G20" s="120">
        <v>0</v>
      </c>
      <c r="H20" s="124">
        <v>0</v>
      </c>
      <c r="I20" s="120">
        <v>0</v>
      </c>
      <c r="J20" s="49">
        <f t="shared" si="4"/>
        <v>0</v>
      </c>
      <c r="K20" s="49">
        <f t="shared" si="4"/>
        <v>0</v>
      </c>
      <c r="L20" s="49">
        <f t="shared" si="4"/>
        <v>0</v>
      </c>
      <c r="M20" s="49">
        <f t="shared" si="4"/>
        <v>0</v>
      </c>
      <c r="N20" s="49">
        <f t="shared" si="4"/>
        <v>0</v>
      </c>
      <c r="O20" s="49">
        <f t="shared" si="4"/>
        <v>0</v>
      </c>
      <c r="P20" s="49">
        <f t="shared" si="4"/>
        <v>0</v>
      </c>
      <c r="Q20" s="124">
        <v>0</v>
      </c>
      <c r="R20" s="120">
        <v>0</v>
      </c>
      <c r="S20" s="49">
        <f t="shared" si="15"/>
        <v>0</v>
      </c>
      <c r="T20" s="49">
        <f t="shared" si="15"/>
        <v>0</v>
      </c>
      <c r="U20" s="125">
        <v>0</v>
      </c>
      <c r="V20" s="44">
        <v>0</v>
      </c>
      <c r="W20" s="125">
        <v>0</v>
      </c>
      <c r="X20" s="44">
        <v>0</v>
      </c>
      <c r="Y20" s="49">
        <f t="shared" si="21"/>
        <v>0</v>
      </c>
      <c r="Z20" s="49">
        <f t="shared" si="23"/>
        <v>0</v>
      </c>
      <c r="AA20" s="49">
        <f t="shared" si="22"/>
        <v>0</v>
      </c>
      <c r="AB20" s="49">
        <f t="shared" si="22"/>
        <v>0</v>
      </c>
      <c r="AC20" s="49">
        <f t="shared" si="22"/>
        <v>0</v>
      </c>
      <c r="AD20" s="49">
        <f t="shared" si="22"/>
        <v>0</v>
      </c>
      <c r="AE20" s="47">
        <v>0</v>
      </c>
      <c r="AF20" s="122">
        <v>0</v>
      </c>
      <c r="AG20" s="49">
        <f t="shared" si="10"/>
        <v>0</v>
      </c>
      <c r="AH20" s="49">
        <f t="shared" si="10"/>
        <v>0</v>
      </c>
      <c r="AI20" s="49">
        <f t="shared" si="10"/>
        <v>0</v>
      </c>
      <c r="AJ20" s="127">
        <v>100.5</v>
      </c>
      <c r="AK20" s="44">
        <v>0</v>
      </c>
      <c r="AL20" s="125">
        <v>135.5</v>
      </c>
      <c r="AM20" s="44">
        <v>0</v>
      </c>
      <c r="AN20" s="151">
        <f t="shared" si="11"/>
        <v>0</v>
      </c>
      <c r="AO20" s="122">
        <f>RCFs!I$33</f>
        <v>24.576000000000001</v>
      </c>
      <c r="AP20" s="49">
        <f t="shared" si="12"/>
        <v>0</v>
      </c>
      <c r="AQ20" s="47">
        <v>0</v>
      </c>
      <c r="AR20" s="122">
        <v>0</v>
      </c>
      <c r="AS20" s="49">
        <f t="shared" si="20"/>
        <v>0</v>
      </c>
      <c r="AT20" s="49">
        <f t="shared" si="18"/>
        <v>0</v>
      </c>
      <c r="AU20" s="47">
        <v>0</v>
      </c>
      <c r="AV20" s="122">
        <v>0</v>
      </c>
      <c r="AW20" s="47">
        <v>0</v>
      </c>
      <c r="AX20" s="122">
        <v>0</v>
      </c>
      <c r="AY20" s="151">
        <f>ROUNDDOWN(C20*AZ20,1)</f>
        <v>0</v>
      </c>
      <c r="AZ20" s="122"/>
    </row>
    <row r="21" spans="1:52" x14ac:dyDescent="0.2">
      <c r="A21" s="52" t="s">
        <v>24</v>
      </c>
      <c r="B21" s="51" t="s">
        <v>87</v>
      </c>
      <c r="C21" s="47">
        <v>15</v>
      </c>
      <c r="D21" s="47">
        <f t="shared" si="0"/>
        <v>799.9</v>
      </c>
      <c r="E21" s="120">
        <f>RCFs!$C$43</f>
        <v>53.323999999999998</v>
      </c>
      <c r="F21" s="124">
        <v>416.3</v>
      </c>
      <c r="G21" s="120">
        <f t="shared" ref="G21:G28" si="25">F21/C21</f>
        <v>27.753333333333334</v>
      </c>
      <c r="H21" s="124">
        <f t="shared" ref="H21:H28" si="26">ROUNDDOWN(F21*1.039,1)</f>
        <v>432.5</v>
      </c>
      <c r="I21" s="120">
        <f t="shared" ref="I21:I28" si="27">H21/C21</f>
        <v>28.833333333333332</v>
      </c>
      <c r="J21" s="49">
        <f t="shared" ref="J21:P28" si="28">ROUND($C21*$I21*J$6,1)</f>
        <v>475.8</v>
      </c>
      <c r="K21" s="49">
        <f t="shared" si="28"/>
        <v>592.5</v>
      </c>
      <c r="L21" s="49">
        <f t="shared" si="28"/>
        <v>635.79999999999995</v>
      </c>
      <c r="M21" s="49">
        <f t="shared" si="28"/>
        <v>700.7</v>
      </c>
      <c r="N21" s="49">
        <f t="shared" si="28"/>
        <v>865</v>
      </c>
      <c r="O21" s="49">
        <f t="shared" si="28"/>
        <v>929.9</v>
      </c>
      <c r="P21" s="49">
        <f t="shared" si="28"/>
        <v>1297.5</v>
      </c>
      <c r="Q21" s="124">
        <v>422.3</v>
      </c>
      <c r="R21" s="120">
        <f t="shared" ref="R21:R28" si="29">Q21/C21</f>
        <v>28.153333333333332</v>
      </c>
      <c r="S21" s="49">
        <f t="shared" si="15"/>
        <v>548.9</v>
      </c>
      <c r="T21" s="49">
        <f t="shared" si="15"/>
        <v>633.4</v>
      </c>
      <c r="U21" s="125">
        <v>392</v>
      </c>
      <c r="V21" s="44">
        <f t="shared" ref="V21:V28" si="30">U21/C21</f>
        <v>26.133333333333333</v>
      </c>
      <c r="W21" s="125">
        <v>417.5</v>
      </c>
      <c r="X21" s="44">
        <f t="shared" ref="X21:X28" si="31">W21/C21</f>
        <v>27.833333333333332</v>
      </c>
      <c r="Y21" s="49">
        <f t="shared" si="21"/>
        <v>459.3</v>
      </c>
      <c r="Z21" s="49">
        <f t="shared" si="23"/>
        <v>572</v>
      </c>
      <c r="AA21" s="49">
        <v>0</v>
      </c>
      <c r="AB21" s="49">
        <f t="shared" ref="AB21:AD27" si="32">ROUND($C21*$X21*AB$6,1)</f>
        <v>613.70000000000005</v>
      </c>
      <c r="AC21" s="49">
        <f t="shared" si="32"/>
        <v>906</v>
      </c>
      <c r="AD21" s="49">
        <f t="shared" si="32"/>
        <v>1252.5</v>
      </c>
      <c r="AE21" s="47">
        <v>422</v>
      </c>
      <c r="AF21" s="122">
        <f t="shared" ref="AF21:AF28" si="33">AE21/C21</f>
        <v>28.133333333333333</v>
      </c>
      <c r="AG21" s="49">
        <f t="shared" si="10"/>
        <v>696.3</v>
      </c>
      <c r="AH21" s="49">
        <f t="shared" si="10"/>
        <v>886.2</v>
      </c>
      <c r="AI21" s="49">
        <f t="shared" si="10"/>
        <v>1266</v>
      </c>
      <c r="AJ21" s="127">
        <v>402</v>
      </c>
      <c r="AK21" s="44">
        <f t="shared" si="16"/>
        <v>26.8</v>
      </c>
      <c r="AL21" s="125">
        <v>541.9</v>
      </c>
      <c r="AM21" s="44">
        <f t="shared" si="17"/>
        <v>36.126666666666665</v>
      </c>
      <c r="AN21" s="151">
        <f t="shared" si="11"/>
        <v>368.6</v>
      </c>
      <c r="AO21" s="122">
        <f>RCFs!I$33</f>
        <v>24.576000000000001</v>
      </c>
      <c r="AP21" s="49">
        <f t="shared" si="12"/>
        <v>552.9</v>
      </c>
      <c r="AQ21" s="47">
        <v>439.6</v>
      </c>
      <c r="AR21" s="122">
        <f t="shared" ref="AR21:AR28" si="34">AQ21/C21</f>
        <v>29.306666666666668</v>
      </c>
      <c r="AS21" s="49">
        <f t="shared" si="20"/>
        <v>571.4</v>
      </c>
      <c r="AT21" s="49">
        <f t="shared" si="18"/>
        <v>637.4</v>
      </c>
      <c r="AU21" s="47">
        <v>434</v>
      </c>
      <c r="AV21" s="122">
        <f t="shared" si="19"/>
        <v>28.933333333333334</v>
      </c>
      <c r="AW21" s="47">
        <v>444.1</v>
      </c>
      <c r="AX21" s="122">
        <f t="shared" si="19"/>
        <v>29.606666666666669</v>
      </c>
      <c r="AY21" s="47">
        <v>597.4</v>
      </c>
      <c r="AZ21" s="122">
        <f t="shared" ref="AZ21" si="35">AY21/$C21</f>
        <v>39.826666666666668</v>
      </c>
    </row>
    <row r="22" spans="1:52" x14ac:dyDescent="0.2">
      <c r="A22" s="52" t="s">
        <v>25</v>
      </c>
      <c r="B22" s="51" t="s">
        <v>87</v>
      </c>
      <c r="C22" s="47">
        <v>30</v>
      </c>
      <c r="D22" s="47">
        <f t="shared" si="0"/>
        <v>1599.7</v>
      </c>
      <c r="E22" s="120">
        <f>RCFs!$C$43</f>
        <v>53.323999999999998</v>
      </c>
      <c r="F22" s="124">
        <v>416.3</v>
      </c>
      <c r="G22" s="120">
        <f t="shared" si="25"/>
        <v>13.876666666666667</v>
      </c>
      <c r="H22" s="124">
        <f t="shared" si="26"/>
        <v>432.5</v>
      </c>
      <c r="I22" s="120">
        <f t="shared" si="27"/>
        <v>14.416666666666666</v>
      </c>
      <c r="J22" s="49">
        <f t="shared" si="28"/>
        <v>475.8</v>
      </c>
      <c r="K22" s="49">
        <f t="shared" si="28"/>
        <v>592.5</v>
      </c>
      <c r="L22" s="49">
        <f t="shared" si="28"/>
        <v>635.79999999999995</v>
      </c>
      <c r="M22" s="49">
        <f t="shared" si="28"/>
        <v>700.7</v>
      </c>
      <c r="N22" s="49">
        <f t="shared" si="28"/>
        <v>865</v>
      </c>
      <c r="O22" s="49">
        <f t="shared" si="28"/>
        <v>929.9</v>
      </c>
      <c r="P22" s="49">
        <f t="shared" si="28"/>
        <v>1297.5</v>
      </c>
      <c r="Q22" s="124">
        <v>422.3</v>
      </c>
      <c r="R22" s="120">
        <f t="shared" si="29"/>
        <v>14.076666666666666</v>
      </c>
      <c r="S22" s="49">
        <f t="shared" si="15"/>
        <v>548.9</v>
      </c>
      <c r="T22" s="49">
        <f t="shared" si="15"/>
        <v>633.4</v>
      </c>
      <c r="U22" s="125">
        <v>392</v>
      </c>
      <c r="V22" s="44">
        <f t="shared" si="30"/>
        <v>13.066666666666666</v>
      </c>
      <c r="W22" s="125">
        <v>417.5</v>
      </c>
      <c r="X22" s="44">
        <f t="shared" si="31"/>
        <v>13.916666666666666</v>
      </c>
      <c r="Y22" s="49">
        <f t="shared" si="21"/>
        <v>459.3</v>
      </c>
      <c r="Z22" s="49">
        <f t="shared" si="23"/>
        <v>572</v>
      </c>
      <c r="AA22" s="49">
        <v>0</v>
      </c>
      <c r="AB22" s="49">
        <f t="shared" si="32"/>
        <v>613.70000000000005</v>
      </c>
      <c r="AC22" s="49">
        <f t="shared" si="32"/>
        <v>906</v>
      </c>
      <c r="AD22" s="49">
        <f t="shared" si="32"/>
        <v>1252.5</v>
      </c>
      <c r="AE22" s="47">
        <v>422</v>
      </c>
      <c r="AF22" s="122">
        <f t="shared" si="33"/>
        <v>14.066666666666666</v>
      </c>
      <c r="AG22" s="49">
        <f t="shared" si="10"/>
        <v>696.3</v>
      </c>
      <c r="AH22" s="49">
        <f t="shared" si="10"/>
        <v>886.2</v>
      </c>
      <c r="AI22" s="49">
        <f t="shared" si="10"/>
        <v>1266</v>
      </c>
      <c r="AJ22" s="127">
        <v>402</v>
      </c>
      <c r="AK22" s="44">
        <f t="shared" si="16"/>
        <v>13.4</v>
      </c>
      <c r="AL22" s="125">
        <v>541.9</v>
      </c>
      <c r="AM22" s="44">
        <f t="shared" si="17"/>
        <v>18.063333333333333</v>
      </c>
      <c r="AN22" s="151">
        <f t="shared" si="11"/>
        <v>737.2</v>
      </c>
      <c r="AO22" s="122">
        <f>RCFs!I$33</f>
        <v>24.576000000000001</v>
      </c>
      <c r="AP22" s="49">
        <f t="shared" si="12"/>
        <v>1105.8</v>
      </c>
      <c r="AQ22" s="47">
        <v>439.6</v>
      </c>
      <c r="AR22" s="122">
        <f t="shared" si="34"/>
        <v>14.653333333333334</v>
      </c>
      <c r="AS22" s="49">
        <f t="shared" si="20"/>
        <v>571.4</v>
      </c>
      <c r="AT22" s="49">
        <f t="shared" si="18"/>
        <v>637.4</v>
      </c>
      <c r="AU22" s="47">
        <v>434</v>
      </c>
      <c r="AV22" s="122">
        <f t="shared" si="19"/>
        <v>14.466666666666667</v>
      </c>
      <c r="AW22" s="47">
        <v>444.1</v>
      </c>
      <c r="AX22" s="122">
        <f t="shared" si="19"/>
        <v>14.803333333333335</v>
      </c>
      <c r="AY22" s="47">
        <v>597.4</v>
      </c>
      <c r="AZ22" s="122">
        <f t="shared" ref="AZ22" si="36">AY22/$C22</f>
        <v>19.913333333333334</v>
      </c>
    </row>
    <row r="23" spans="1:52" x14ac:dyDescent="0.2">
      <c r="A23" s="52" t="s">
        <v>26</v>
      </c>
      <c r="B23" s="51" t="s">
        <v>87</v>
      </c>
      <c r="C23" s="47">
        <v>45</v>
      </c>
      <c r="D23" s="47">
        <f t="shared" si="0"/>
        <v>2399.6</v>
      </c>
      <c r="E23" s="120">
        <f>RCFs!$C$43</f>
        <v>53.323999999999998</v>
      </c>
      <c r="F23" s="124">
        <v>416.3</v>
      </c>
      <c r="G23" s="120">
        <f t="shared" si="25"/>
        <v>9.2511111111111113</v>
      </c>
      <c r="H23" s="124">
        <f t="shared" si="26"/>
        <v>432.5</v>
      </c>
      <c r="I23" s="120">
        <f t="shared" si="27"/>
        <v>9.6111111111111107</v>
      </c>
      <c r="J23" s="49">
        <f t="shared" si="28"/>
        <v>475.8</v>
      </c>
      <c r="K23" s="49">
        <f t="shared" si="28"/>
        <v>592.5</v>
      </c>
      <c r="L23" s="49">
        <f t="shared" si="28"/>
        <v>635.79999999999995</v>
      </c>
      <c r="M23" s="49">
        <f t="shared" si="28"/>
        <v>700.7</v>
      </c>
      <c r="N23" s="49">
        <f t="shared" si="28"/>
        <v>865</v>
      </c>
      <c r="O23" s="49">
        <f t="shared" si="28"/>
        <v>929.9</v>
      </c>
      <c r="P23" s="49">
        <f t="shared" si="28"/>
        <v>1297.5</v>
      </c>
      <c r="Q23" s="124">
        <v>422.3</v>
      </c>
      <c r="R23" s="120">
        <f t="shared" si="29"/>
        <v>9.3844444444444441</v>
      </c>
      <c r="S23" s="49">
        <f t="shared" si="15"/>
        <v>548.9</v>
      </c>
      <c r="T23" s="49">
        <f t="shared" si="15"/>
        <v>633.4</v>
      </c>
      <c r="U23" s="125">
        <v>392</v>
      </c>
      <c r="V23" s="44">
        <f t="shared" si="30"/>
        <v>8.7111111111111104</v>
      </c>
      <c r="W23" s="125">
        <v>417.5</v>
      </c>
      <c r="X23" s="44">
        <f t="shared" si="31"/>
        <v>9.2777777777777786</v>
      </c>
      <c r="Y23" s="49">
        <f t="shared" si="21"/>
        <v>459.3</v>
      </c>
      <c r="Z23" s="49">
        <f t="shared" si="23"/>
        <v>572</v>
      </c>
      <c r="AA23" s="49">
        <v>0</v>
      </c>
      <c r="AB23" s="49">
        <f t="shared" si="32"/>
        <v>613.70000000000005</v>
      </c>
      <c r="AC23" s="49">
        <f t="shared" si="32"/>
        <v>906</v>
      </c>
      <c r="AD23" s="49">
        <f t="shared" si="32"/>
        <v>1252.5</v>
      </c>
      <c r="AE23" s="47">
        <v>422</v>
      </c>
      <c r="AF23" s="122">
        <f t="shared" si="33"/>
        <v>9.3777777777777782</v>
      </c>
      <c r="AG23" s="49">
        <f t="shared" si="10"/>
        <v>696.3</v>
      </c>
      <c r="AH23" s="49">
        <f t="shared" si="10"/>
        <v>886.2</v>
      </c>
      <c r="AI23" s="49">
        <f t="shared" si="10"/>
        <v>1266</v>
      </c>
      <c r="AJ23" s="127">
        <v>402</v>
      </c>
      <c r="AK23" s="44">
        <f t="shared" si="16"/>
        <v>8.9333333333333336</v>
      </c>
      <c r="AL23" s="125">
        <v>541.9</v>
      </c>
      <c r="AM23" s="44">
        <f t="shared" si="17"/>
        <v>12.042222222222222</v>
      </c>
      <c r="AN23" s="151">
        <f t="shared" si="11"/>
        <v>1105.9000000000001</v>
      </c>
      <c r="AO23" s="122">
        <f>RCFs!I$33</f>
        <v>24.576000000000001</v>
      </c>
      <c r="AP23" s="49">
        <f t="shared" si="12"/>
        <v>1658.8</v>
      </c>
      <c r="AQ23" s="47">
        <v>439.6</v>
      </c>
      <c r="AR23" s="122">
        <f t="shared" si="34"/>
        <v>9.7688888888888901</v>
      </c>
      <c r="AS23" s="49">
        <f t="shared" si="20"/>
        <v>571.4</v>
      </c>
      <c r="AT23" s="49">
        <f t="shared" si="18"/>
        <v>637.4</v>
      </c>
      <c r="AU23" s="47">
        <v>434</v>
      </c>
      <c r="AV23" s="122">
        <f t="shared" si="19"/>
        <v>9.6444444444444439</v>
      </c>
      <c r="AW23" s="47">
        <v>444.1</v>
      </c>
      <c r="AX23" s="122">
        <f t="shared" si="19"/>
        <v>9.8688888888888897</v>
      </c>
      <c r="AY23" s="47">
        <v>597.4</v>
      </c>
      <c r="AZ23" s="122">
        <f t="shared" ref="AZ23" si="37">AY23/$C23</f>
        <v>13.275555555555554</v>
      </c>
    </row>
    <row r="24" spans="1:52" x14ac:dyDescent="0.2">
      <c r="A24" s="52" t="s">
        <v>19</v>
      </c>
      <c r="B24" s="51" t="s">
        <v>86</v>
      </c>
      <c r="C24" s="47">
        <v>15</v>
      </c>
      <c r="D24" s="47">
        <f t="shared" si="0"/>
        <v>799.9</v>
      </c>
      <c r="E24" s="120">
        <f>RCFs!$C$43</f>
        <v>53.323999999999998</v>
      </c>
      <c r="F24" s="124">
        <v>416.3</v>
      </c>
      <c r="G24" s="120">
        <f t="shared" si="25"/>
        <v>27.753333333333334</v>
      </c>
      <c r="H24" s="124">
        <f t="shared" si="26"/>
        <v>432.5</v>
      </c>
      <c r="I24" s="120">
        <f t="shared" si="27"/>
        <v>28.833333333333332</v>
      </c>
      <c r="J24" s="49">
        <f t="shared" si="28"/>
        <v>475.8</v>
      </c>
      <c r="K24" s="49">
        <f t="shared" si="28"/>
        <v>592.5</v>
      </c>
      <c r="L24" s="49">
        <f t="shared" si="28"/>
        <v>635.79999999999995</v>
      </c>
      <c r="M24" s="49">
        <f t="shared" si="28"/>
        <v>700.7</v>
      </c>
      <c r="N24" s="49">
        <f t="shared" si="28"/>
        <v>865</v>
      </c>
      <c r="O24" s="49">
        <f t="shared" si="28"/>
        <v>929.9</v>
      </c>
      <c r="P24" s="49">
        <f t="shared" si="28"/>
        <v>1297.5</v>
      </c>
      <c r="Q24" s="124">
        <v>422.3</v>
      </c>
      <c r="R24" s="120">
        <f t="shared" si="29"/>
        <v>28.153333333333332</v>
      </c>
      <c r="S24" s="49">
        <f t="shared" si="15"/>
        <v>548.9</v>
      </c>
      <c r="T24" s="49">
        <f t="shared" si="15"/>
        <v>633.4</v>
      </c>
      <c r="U24" s="125">
        <v>416.8</v>
      </c>
      <c r="V24" s="44">
        <f t="shared" si="30"/>
        <v>27.786666666666669</v>
      </c>
      <c r="W24" s="125">
        <v>443.9</v>
      </c>
      <c r="X24" s="44">
        <f t="shared" si="31"/>
        <v>29.59333333333333</v>
      </c>
      <c r="Y24" s="49">
        <f t="shared" si="21"/>
        <v>488.3</v>
      </c>
      <c r="Z24" s="49">
        <v>0</v>
      </c>
      <c r="AA24" s="49">
        <f>ROUND($C24*$X24*AA$6,1)</f>
        <v>719.1</v>
      </c>
      <c r="AB24" s="49">
        <f t="shared" si="32"/>
        <v>652.5</v>
      </c>
      <c r="AC24" s="49">
        <f t="shared" si="32"/>
        <v>963.3</v>
      </c>
      <c r="AD24" s="49">
        <f t="shared" si="32"/>
        <v>1331.7</v>
      </c>
      <c r="AE24" s="47">
        <v>422</v>
      </c>
      <c r="AF24" s="122">
        <f t="shared" si="33"/>
        <v>28.133333333333333</v>
      </c>
      <c r="AG24" s="49">
        <f t="shared" si="10"/>
        <v>696.3</v>
      </c>
      <c r="AH24" s="49">
        <f t="shared" si="10"/>
        <v>886.2</v>
      </c>
      <c r="AI24" s="49">
        <f t="shared" si="10"/>
        <v>1266</v>
      </c>
      <c r="AJ24" s="127">
        <v>402</v>
      </c>
      <c r="AK24" s="44">
        <f t="shared" si="16"/>
        <v>26.8</v>
      </c>
      <c r="AL24" s="125">
        <v>552.20000000000005</v>
      </c>
      <c r="AM24" s="44">
        <f t="shared" si="17"/>
        <v>36.81333333333334</v>
      </c>
      <c r="AN24" s="151">
        <f t="shared" si="11"/>
        <v>368.6</v>
      </c>
      <c r="AO24" s="122">
        <f>RCFs!I$33</f>
        <v>24.576000000000001</v>
      </c>
      <c r="AP24" s="49">
        <f t="shared" si="12"/>
        <v>552.9</v>
      </c>
      <c r="AQ24" s="47">
        <v>439.6</v>
      </c>
      <c r="AR24" s="122">
        <f t="shared" si="34"/>
        <v>29.306666666666668</v>
      </c>
      <c r="AS24" s="49">
        <f t="shared" si="20"/>
        <v>571.4</v>
      </c>
      <c r="AT24" s="49">
        <f t="shared" si="18"/>
        <v>637.4</v>
      </c>
      <c r="AU24" s="47">
        <v>434</v>
      </c>
      <c r="AV24" s="122">
        <f t="shared" si="19"/>
        <v>28.933333333333334</v>
      </c>
      <c r="AW24" s="47">
        <v>444.1</v>
      </c>
      <c r="AX24" s="122">
        <f t="shared" si="19"/>
        <v>29.606666666666669</v>
      </c>
      <c r="AY24" s="47">
        <v>597.4</v>
      </c>
      <c r="AZ24" s="122">
        <f t="shared" ref="AZ24" si="38">AY24/$C24</f>
        <v>39.826666666666668</v>
      </c>
    </row>
    <row r="25" spans="1:52" x14ac:dyDescent="0.2">
      <c r="A25" s="52" t="s">
        <v>20</v>
      </c>
      <c r="B25" s="51" t="s">
        <v>86</v>
      </c>
      <c r="C25" s="47">
        <v>30</v>
      </c>
      <c r="D25" s="47">
        <f t="shared" si="0"/>
        <v>1599.7</v>
      </c>
      <c r="E25" s="120">
        <f>RCFs!$C$43</f>
        <v>53.323999999999998</v>
      </c>
      <c r="F25" s="124">
        <v>416.3</v>
      </c>
      <c r="G25" s="120">
        <f t="shared" si="25"/>
        <v>13.876666666666667</v>
      </c>
      <c r="H25" s="124">
        <f t="shared" si="26"/>
        <v>432.5</v>
      </c>
      <c r="I25" s="120">
        <f t="shared" si="27"/>
        <v>14.416666666666666</v>
      </c>
      <c r="J25" s="49">
        <f t="shared" si="28"/>
        <v>475.8</v>
      </c>
      <c r="K25" s="49">
        <f t="shared" si="28"/>
        <v>592.5</v>
      </c>
      <c r="L25" s="49">
        <f t="shared" si="28"/>
        <v>635.79999999999995</v>
      </c>
      <c r="M25" s="49">
        <f t="shared" si="28"/>
        <v>700.7</v>
      </c>
      <c r="N25" s="49">
        <f t="shared" si="28"/>
        <v>865</v>
      </c>
      <c r="O25" s="49">
        <f t="shared" si="28"/>
        <v>929.9</v>
      </c>
      <c r="P25" s="49">
        <f t="shared" si="28"/>
        <v>1297.5</v>
      </c>
      <c r="Q25" s="124">
        <v>422.3</v>
      </c>
      <c r="R25" s="120">
        <f t="shared" si="29"/>
        <v>14.076666666666666</v>
      </c>
      <c r="S25" s="49">
        <f t="shared" si="15"/>
        <v>548.9</v>
      </c>
      <c r="T25" s="49">
        <f t="shared" si="15"/>
        <v>633.4</v>
      </c>
      <c r="U25" s="125">
        <v>416.8</v>
      </c>
      <c r="V25" s="44">
        <f t="shared" si="30"/>
        <v>13.893333333333334</v>
      </c>
      <c r="W25" s="125">
        <v>443.9</v>
      </c>
      <c r="X25" s="44">
        <f t="shared" si="31"/>
        <v>14.796666666666665</v>
      </c>
      <c r="Y25" s="49">
        <f t="shared" si="21"/>
        <v>488.3</v>
      </c>
      <c r="Z25" s="49">
        <v>0</v>
      </c>
      <c r="AA25" s="49">
        <f>ROUND($C25*$X25*AA$6,1)</f>
        <v>719.1</v>
      </c>
      <c r="AB25" s="49">
        <f t="shared" si="32"/>
        <v>652.5</v>
      </c>
      <c r="AC25" s="49">
        <f t="shared" si="32"/>
        <v>963.3</v>
      </c>
      <c r="AD25" s="49">
        <f t="shared" si="32"/>
        <v>1331.7</v>
      </c>
      <c r="AE25" s="47">
        <v>422</v>
      </c>
      <c r="AF25" s="122">
        <f t="shared" si="33"/>
        <v>14.066666666666666</v>
      </c>
      <c r="AG25" s="49">
        <f t="shared" si="10"/>
        <v>696.3</v>
      </c>
      <c r="AH25" s="49">
        <f t="shared" si="10"/>
        <v>886.2</v>
      </c>
      <c r="AI25" s="49">
        <f t="shared" si="10"/>
        <v>1266</v>
      </c>
      <c r="AJ25" s="127">
        <v>402</v>
      </c>
      <c r="AK25" s="44">
        <f t="shared" si="16"/>
        <v>13.4</v>
      </c>
      <c r="AL25" s="125">
        <v>552.20000000000005</v>
      </c>
      <c r="AM25" s="44">
        <f t="shared" si="17"/>
        <v>18.40666666666667</v>
      </c>
      <c r="AN25" s="151">
        <f t="shared" si="11"/>
        <v>737.2</v>
      </c>
      <c r="AO25" s="122">
        <f>RCFs!I$33</f>
        <v>24.576000000000001</v>
      </c>
      <c r="AP25" s="49">
        <f t="shared" si="12"/>
        <v>1105.8</v>
      </c>
      <c r="AQ25" s="47">
        <v>439.6</v>
      </c>
      <c r="AR25" s="122">
        <f t="shared" si="34"/>
        <v>14.653333333333334</v>
      </c>
      <c r="AS25" s="49">
        <f t="shared" si="20"/>
        <v>571.4</v>
      </c>
      <c r="AT25" s="49">
        <f t="shared" si="18"/>
        <v>637.4</v>
      </c>
      <c r="AU25" s="47">
        <v>434</v>
      </c>
      <c r="AV25" s="122">
        <f t="shared" si="19"/>
        <v>14.466666666666667</v>
      </c>
      <c r="AW25" s="47">
        <v>444.1</v>
      </c>
      <c r="AX25" s="122">
        <f t="shared" si="19"/>
        <v>14.803333333333335</v>
      </c>
      <c r="AY25" s="47">
        <v>597.4</v>
      </c>
      <c r="AZ25" s="122">
        <f t="shared" ref="AZ25" si="39">AY25/$C25</f>
        <v>19.913333333333334</v>
      </c>
    </row>
    <row r="26" spans="1:52" x14ac:dyDescent="0.2">
      <c r="A26" s="52" t="s">
        <v>21</v>
      </c>
      <c r="B26" s="51" t="s">
        <v>86</v>
      </c>
      <c r="C26" s="47">
        <v>45</v>
      </c>
      <c r="D26" s="47">
        <f t="shared" si="0"/>
        <v>2399.6</v>
      </c>
      <c r="E26" s="120">
        <f>RCFs!$C$43</f>
        <v>53.323999999999998</v>
      </c>
      <c r="F26" s="124">
        <v>416.3</v>
      </c>
      <c r="G26" s="120">
        <f t="shared" si="25"/>
        <v>9.2511111111111113</v>
      </c>
      <c r="H26" s="124">
        <f t="shared" si="26"/>
        <v>432.5</v>
      </c>
      <c r="I26" s="120">
        <f t="shared" si="27"/>
        <v>9.6111111111111107</v>
      </c>
      <c r="J26" s="49">
        <f t="shared" si="28"/>
        <v>475.8</v>
      </c>
      <c r="K26" s="49">
        <f t="shared" si="28"/>
        <v>592.5</v>
      </c>
      <c r="L26" s="49">
        <f t="shared" si="28"/>
        <v>635.79999999999995</v>
      </c>
      <c r="M26" s="49">
        <f t="shared" si="28"/>
        <v>700.7</v>
      </c>
      <c r="N26" s="49">
        <f t="shared" si="28"/>
        <v>865</v>
      </c>
      <c r="O26" s="49">
        <f t="shared" si="28"/>
        <v>929.9</v>
      </c>
      <c r="P26" s="49">
        <f t="shared" si="28"/>
        <v>1297.5</v>
      </c>
      <c r="Q26" s="124">
        <v>422.3</v>
      </c>
      <c r="R26" s="120">
        <f t="shared" si="29"/>
        <v>9.3844444444444441</v>
      </c>
      <c r="S26" s="49">
        <f t="shared" si="15"/>
        <v>548.9</v>
      </c>
      <c r="T26" s="49">
        <f t="shared" si="15"/>
        <v>633.4</v>
      </c>
      <c r="U26" s="125">
        <v>416.8</v>
      </c>
      <c r="V26" s="44">
        <f t="shared" si="30"/>
        <v>9.2622222222222224</v>
      </c>
      <c r="W26" s="125">
        <v>443.9</v>
      </c>
      <c r="X26" s="44">
        <f t="shared" si="31"/>
        <v>9.8644444444444446</v>
      </c>
      <c r="Y26" s="49">
        <f t="shared" si="21"/>
        <v>488.3</v>
      </c>
      <c r="Z26" s="49">
        <v>0</v>
      </c>
      <c r="AA26" s="49">
        <f>ROUND($C26*$X26*AA$6,1)</f>
        <v>719.1</v>
      </c>
      <c r="AB26" s="49">
        <f t="shared" si="32"/>
        <v>652.5</v>
      </c>
      <c r="AC26" s="49">
        <f t="shared" si="32"/>
        <v>963.3</v>
      </c>
      <c r="AD26" s="49">
        <f t="shared" si="32"/>
        <v>1331.7</v>
      </c>
      <c r="AE26" s="47">
        <v>422</v>
      </c>
      <c r="AF26" s="122">
        <f t="shared" si="33"/>
        <v>9.3777777777777782</v>
      </c>
      <c r="AG26" s="49">
        <f t="shared" si="10"/>
        <v>696.3</v>
      </c>
      <c r="AH26" s="49">
        <f t="shared" si="10"/>
        <v>886.2</v>
      </c>
      <c r="AI26" s="49">
        <f t="shared" si="10"/>
        <v>1266</v>
      </c>
      <c r="AJ26" s="127">
        <v>402</v>
      </c>
      <c r="AK26" s="44">
        <f t="shared" si="16"/>
        <v>8.9333333333333336</v>
      </c>
      <c r="AL26" s="125">
        <v>552.20000000000005</v>
      </c>
      <c r="AM26" s="44">
        <f t="shared" si="17"/>
        <v>12.271111111111113</v>
      </c>
      <c r="AN26" s="151">
        <f t="shared" si="11"/>
        <v>1105.9000000000001</v>
      </c>
      <c r="AO26" s="122">
        <f>RCFs!I$33</f>
        <v>24.576000000000001</v>
      </c>
      <c r="AP26" s="49">
        <f t="shared" si="12"/>
        <v>1658.8</v>
      </c>
      <c r="AQ26" s="47">
        <v>439.6</v>
      </c>
      <c r="AR26" s="122">
        <f t="shared" si="34"/>
        <v>9.7688888888888901</v>
      </c>
      <c r="AS26" s="49">
        <f t="shared" si="20"/>
        <v>571.4</v>
      </c>
      <c r="AT26" s="49">
        <f t="shared" si="18"/>
        <v>637.4</v>
      </c>
      <c r="AU26" s="47">
        <v>434</v>
      </c>
      <c r="AV26" s="122">
        <f t="shared" si="19"/>
        <v>9.6444444444444439</v>
      </c>
      <c r="AW26" s="47">
        <v>444.1</v>
      </c>
      <c r="AX26" s="122">
        <f t="shared" si="19"/>
        <v>9.8688888888888897</v>
      </c>
      <c r="AY26" s="47">
        <v>597.4</v>
      </c>
      <c r="AZ26" s="122">
        <f t="shared" ref="AZ26" si="40">AY26/$C26</f>
        <v>13.275555555555554</v>
      </c>
    </row>
    <row r="27" spans="1:52" s="242" customFormat="1" x14ac:dyDescent="0.2">
      <c r="A27" s="237" t="s">
        <v>212</v>
      </c>
      <c r="B27" s="238" t="s">
        <v>86</v>
      </c>
      <c r="C27" s="177">
        <v>63.6</v>
      </c>
      <c r="D27" s="177">
        <f t="shared" ref="D27" si="41">ROUND(E27*C27,1)</f>
        <v>3391.4</v>
      </c>
      <c r="E27" s="178">
        <f>RCFs!$C$43</f>
        <v>53.323999999999998</v>
      </c>
      <c r="F27" s="239">
        <v>0</v>
      </c>
      <c r="G27" s="178">
        <f t="shared" ref="G27" si="42">F27/C27</f>
        <v>0</v>
      </c>
      <c r="H27" s="239">
        <f t="shared" ref="H27" si="43">ROUNDDOWN(F27*1.039,1)</f>
        <v>0</v>
      </c>
      <c r="I27" s="178">
        <f t="shared" ref="I27" si="44">H27/C27</f>
        <v>0</v>
      </c>
      <c r="J27" s="179">
        <f t="shared" si="28"/>
        <v>0</v>
      </c>
      <c r="K27" s="179">
        <f t="shared" si="28"/>
        <v>0</v>
      </c>
      <c r="L27" s="179">
        <f t="shared" si="28"/>
        <v>0</v>
      </c>
      <c r="M27" s="179">
        <f t="shared" si="28"/>
        <v>0</v>
      </c>
      <c r="N27" s="179">
        <f t="shared" si="28"/>
        <v>0</v>
      </c>
      <c r="O27" s="179">
        <f t="shared" si="28"/>
        <v>0</v>
      </c>
      <c r="P27" s="179">
        <f t="shared" si="28"/>
        <v>0</v>
      </c>
      <c r="Q27" s="239"/>
      <c r="R27" s="178">
        <f t="shared" ref="R27" si="45">Q27/C27</f>
        <v>0</v>
      </c>
      <c r="S27" s="179">
        <f t="shared" si="15"/>
        <v>0</v>
      </c>
      <c r="T27" s="179">
        <f t="shared" si="15"/>
        <v>0</v>
      </c>
      <c r="U27" s="239"/>
      <c r="V27" s="240">
        <f t="shared" ref="V27" si="46">U27/C27</f>
        <v>0</v>
      </c>
      <c r="W27" s="239">
        <v>0</v>
      </c>
      <c r="X27" s="240">
        <f t="shared" ref="X27" si="47">W27/C27</f>
        <v>0</v>
      </c>
      <c r="Y27" s="179">
        <f t="shared" si="21"/>
        <v>0</v>
      </c>
      <c r="Z27" s="179">
        <v>0</v>
      </c>
      <c r="AA27" s="179">
        <f>ROUND($C27*$X27*AA$6,1)</f>
        <v>0</v>
      </c>
      <c r="AB27" s="179">
        <f t="shared" si="32"/>
        <v>0</v>
      </c>
      <c r="AC27" s="179">
        <f t="shared" si="32"/>
        <v>0</v>
      </c>
      <c r="AD27" s="179">
        <f t="shared" si="32"/>
        <v>0</v>
      </c>
      <c r="AE27" s="177">
        <v>0</v>
      </c>
      <c r="AF27" s="178">
        <f t="shared" ref="AF27" si="48">AE27/C27</f>
        <v>0</v>
      </c>
      <c r="AG27" s="179">
        <f t="shared" si="10"/>
        <v>0</v>
      </c>
      <c r="AH27" s="179">
        <f t="shared" si="10"/>
        <v>0</v>
      </c>
      <c r="AI27" s="179">
        <f t="shared" si="10"/>
        <v>0</v>
      </c>
      <c r="AJ27" s="241">
        <v>402</v>
      </c>
      <c r="AK27" s="240">
        <f t="shared" ref="AK27" si="49">AJ27/$C27</f>
        <v>6.3207547169811322</v>
      </c>
      <c r="AL27" s="239">
        <v>552.20000000000005</v>
      </c>
      <c r="AM27" s="240">
        <f t="shared" ref="AM27" si="50">AL27/$C27</f>
        <v>8.6823899371069189</v>
      </c>
      <c r="AN27" s="177">
        <f t="shared" ref="AN27" si="51">ROUNDDOWN(C27*AO27,1)</f>
        <v>1563</v>
      </c>
      <c r="AO27" s="178">
        <f>RCFs!I$33</f>
        <v>24.576000000000001</v>
      </c>
      <c r="AP27" s="179">
        <f t="shared" si="12"/>
        <v>2344.5</v>
      </c>
      <c r="AQ27" s="177">
        <v>0</v>
      </c>
      <c r="AR27" s="178">
        <f t="shared" ref="AR27" si="52">AQ27/C27</f>
        <v>0</v>
      </c>
      <c r="AS27" s="179">
        <f t="shared" si="20"/>
        <v>0</v>
      </c>
      <c r="AT27" s="179">
        <f t="shared" si="18"/>
        <v>0</v>
      </c>
      <c r="AU27" s="177">
        <v>434</v>
      </c>
      <c r="AV27" s="178">
        <f t="shared" ref="AV27" si="53">AU27/$C27</f>
        <v>6.8238993710691824</v>
      </c>
      <c r="AW27" s="177">
        <v>0</v>
      </c>
      <c r="AX27" s="178">
        <f t="shared" ref="AX27" si="54">AW27/$C27</f>
        <v>0</v>
      </c>
      <c r="AY27" s="177"/>
      <c r="AZ27" s="178">
        <f t="shared" ref="AZ27" si="55">AY27/$C27</f>
        <v>0</v>
      </c>
    </row>
    <row r="28" spans="1:52" x14ac:dyDescent="0.2">
      <c r="A28" s="52" t="s">
        <v>15</v>
      </c>
      <c r="B28" s="53" t="s">
        <v>16</v>
      </c>
      <c r="C28" s="47">
        <v>21.43</v>
      </c>
      <c r="D28" s="47">
        <f t="shared" si="0"/>
        <v>1142.7</v>
      </c>
      <c r="E28" s="120">
        <f>RCFs!$C$43</f>
        <v>53.323999999999998</v>
      </c>
      <c r="F28" s="124">
        <v>495.08</v>
      </c>
      <c r="G28" s="120">
        <f t="shared" si="25"/>
        <v>23.102193187120857</v>
      </c>
      <c r="H28" s="124">
        <f t="shared" si="26"/>
        <v>514.29999999999995</v>
      </c>
      <c r="I28" s="120">
        <f t="shared" si="27"/>
        <v>23.999066728884738</v>
      </c>
      <c r="J28" s="49">
        <f t="shared" si="28"/>
        <v>565.70000000000005</v>
      </c>
      <c r="K28" s="49">
        <f t="shared" si="28"/>
        <v>704.6</v>
      </c>
      <c r="L28" s="49">
        <f t="shared" si="28"/>
        <v>756</v>
      </c>
      <c r="M28" s="49">
        <f t="shared" si="28"/>
        <v>833.2</v>
      </c>
      <c r="N28" s="49">
        <f t="shared" si="28"/>
        <v>1028.5999999999999</v>
      </c>
      <c r="O28" s="49">
        <f t="shared" si="28"/>
        <v>1105.7</v>
      </c>
      <c r="P28" s="49">
        <f t="shared" si="28"/>
        <v>1542.9</v>
      </c>
      <c r="Q28" s="124">
        <v>503</v>
      </c>
      <c r="R28" s="120">
        <f t="shared" si="29"/>
        <v>23.471768548763418</v>
      </c>
      <c r="S28" s="49">
        <f t="shared" si="15"/>
        <v>653.9</v>
      </c>
      <c r="T28" s="49">
        <f t="shared" si="15"/>
        <v>754.5</v>
      </c>
      <c r="U28" s="125">
        <v>466.6</v>
      </c>
      <c r="V28" s="44">
        <f t="shared" si="30"/>
        <v>21.77321511899207</v>
      </c>
      <c r="W28" s="125">
        <v>496.9</v>
      </c>
      <c r="X28" s="44">
        <f t="shared" si="31"/>
        <v>23.187120858609426</v>
      </c>
      <c r="Y28" s="49">
        <f>W28</f>
        <v>496.9</v>
      </c>
      <c r="Z28" s="49">
        <f>W28</f>
        <v>496.9</v>
      </c>
      <c r="AA28" s="49">
        <f>Z28</f>
        <v>496.9</v>
      </c>
      <c r="AB28" s="49">
        <f t="shared" ref="AB28:AD29" si="56">AA28</f>
        <v>496.9</v>
      </c>
      <c r="AC28" s="49">
        <f t="shared" si="56"/>
        <v>496.9</v>
      </c>
      <c r="AD28" s="49">
        <f t="shared" si="56"/>
        <v>496.9</v>
      </c>
      <c r="AE28" s="47">
        <v>502.5</v>
      </c>
      <c r="AF28" s="122">
        <f t="shared" si="33"/>
        <v>23.448436770881941</v>
      </c>
      <c r="AG28" s="49">
        <f t="shared" si="10"/>
        <v>829.1</v>
      </c>
      <c r="AH28" s="49">
        <f t="shared" si="10"/>
        <v>1055.3</v>
      </c>
      <c r="AI28" s="49">
        <f t="shared" si="10"/>
        <v>1507.5</v>
      </c>
      <c r="AJ28" s="127">
        <v>458</v>
      </c>
      <c r="AK28" s="44">
        <f t="shared" si="16"/>
        <v>21.371908539430706</v>
      </c>
      <c r="AL28" s="125">
        <v>617.20000000000005</v>
      </c>
      <c r="AM28" s="44">
        <f t="shared" si="17"/>
        <v>28.800746616892209</v>
      </c>
      <c r="AN28" s="151">
        <f t="shared" si="11"/>
        <v>526.6</v>
      </c>
      <c r="AO28" s="122">
        <f>RCFs!I$33</f>
        <v>24.576000000000001</v>
      </c>
      <c r="AP28" s="49">
        <f t="shared" si="12"/>
        <v>789.9</v>
      </c>
      <c r="AQ28" s="47">
        <v>523.20000000000005</v>
      </c>
      <c r="AR28" s="122">
        <f t="shared" si="34"/>
        <v>24.414372375174992</v>
      </c>
      <c r="AS28" s="49">
        <f t="shared" si="20"/>
        <v>680.1</v>
      </c>
      <c r="AT28" s="49">
        <f t="shared" si="18"/>
        <v>758.6</v>
      </c>
      <c r="AU28" s="47">
        <v>434</v>
      </c>
      <c r="AV28" s="122">
        <f t="shared" si="19"/>
        <v>20.251983201119927</v>
      </c>
      <c r="AW28" s="47">
        <v>528.70000000000005</v>
      </c>
      <c r="AX28" s="122">
        <f t="shared" si="19"/>
        <v>24.671021931871213</v>
      </c>
      <c r="AY28" s="151">
        <f>ROUNDDOWN(C28*AZ28,1)</f>
        <v>509.3</v>
      </c>
      <c r="AZ28" s="122">
        <f>RCFs!I$41</f>
        <v>23.768000000000001</v>
      </c>
    </row>
    <row r="29" spans="1:52" s="134" customFormat="1" x14ac:dyDescent="0.2">
      <c r="A29" s="243" t="s">
        <v>214</v>
      </c>
      <c r="B29" s="244" t="s">
        <v>217</v>
      </c>
      <c r="C29" s="245"/>
      <c r="D29" s="245"/>
      <c r="E29" s="246"/>
      <c r="F29" s="247"/>
      <c r="G29" s="246"/>
      <c r="H29" s="247"/>
      <c r="I29" s="246"/>
      <c r="J29" s="248"/>
      <c r="K29" s="248"/>
      <c r="L29" s="248"/>
      <c r="M29" s="248"/>
      <c r="N29" s="248"/>
      <c r="O29" s="248"/>
      <c r="P29" s="248"/>
      <c r="Q29" s="247"/>
      <c r="R29" s="246"/>
      <c r="S29" s="248"/>
      <c r="T29" s="248"/>
      <c r="U29" s="247"/>
      <c r="V29" s="249"/>
      <c r="W29" s="247">
        <v>1257.5999999999999</v>
      </c>
      <c r="X29" s="249"/>
      <c r="Y29" s="248">
        <f>W29</f>
        <v>1257.5999999999999</v>
      </c>
      <c r="Z29" s="248">
        <f>Y29</f>
        <v>1257.5999999999999</v>
      </c>
      <c r="AA29" s="248">
        <f>Z29</f>
        <v>1257.5999999999999</v>
      </c>
      <c r="AB29" s="248">
        <f t="shared" si="56"/>
        <v>1257.5999999999999</v>
      </c>
      <c r="AC29" s="248">
        <f t="shared" si="56"/>
        <v>1257.5999999999999</v>
      </c>
      <c r="AD29" s="248">
        <f t="shared" si="56"/>
        <v>1257.5999999999999</v>
      </c>
      <c r="AE29" s="245"/>
      <c r="AF29" s="246"/>
      <c r="AG29" s="248"/>
      <c r="AH29" s="248"/>
      <c r="AI29" s="248"/>
      <c r="AJ29" s="250"/>
      <c r="AK29" s="249"/>
      <c r="AL29" s="247"/>
      <c r="AM29" s="249"/>
      <c r="AN29" s="245"/>
      <c r="AO29" s="246"/>
      <c r="AP29" s="248"/>
      <c r="AQ29" s="245"/>
      <c r="AR29" s="246"/>
      <c r="AS29" s="248"/>
      <c r="AT29" s="248"/>
      <c r="AU29" s="245"/>
      <c r="AV29" s="246"/>
      <c r="AW29" s="245"/>
      <c r="AX29" s="246"/>
      <c r="AY29" s="245"/>
      <c r="AZ29" s="246"/>
    </row>
    <row r="30" spans="1:52" s="134" customFormat="1" x14ac:dyDescent="0.2">
      <c r="A30" s="243" t="s">
        <v>219</v>
      </c>
      <c r="B30" s="244" t="s">
        <v>218</v>
      </c>
      <c r="C30" s="245"/>
      <c r="D30" s="245"/>
      <c r="E30" s="246"/>
      <c r="F30" s="247"/>
      <c r="G30" s="246"/>
      <c r="H30" s="247"/>
      <c r="I30" s="246"/>
      <c r="J30" s="248"/>
      <c r="K30" s="248"/>
      <c r="L30" s="248"/>
      <c r="M30" s="248"/>
      <c r="N30" s="248"/>
      <c r="O30" s="248"/>
      <c r="P30" s="248"/>
      <c r="Q30" s="247"/>
      <c r="R30" s="246"/>
      <c r="S30" s="248"/>
      <c r="T30" s="248"/>
      <c r="U30" s="247"/>
      <c r="V30" s="249"/>
      <c r="W30" s="247">
        <v>2096</v>
      </c>
      <c r="X30" s="249"/>
      <c r="Y30" s="248">
        <f>W30</f>
        <v>2096</v>
      </c>
      <c r="Z30" s="248"/>
      <c r="AA30" s="248"/>
      <c r="AB30" s="248"/>
      <c r="AC30" s="248"/>
      <c r="AD30" s="248"/>
      <c r="AE30" s="245"/>
      <c r="AF30" s="246"/>
      <c r="AG30" s="248"/>
      <c r="AH30" s="248"/>
      <c r="AI30" s="248"/>
      <c r="AJ30" s="250"/>
      <c r="AK30" s="249"/>
      <c r="AL30" s="247"/>
      <c r="AM30" s="249"/>
      <c r="AN30" s="245"/>
      <c r="AO30" s="246"/>
      <c r="AP30" s="248"/>
      <c r="AQ30" s="245"/>
      <c r="AR30" s="246"/>
      <c r="AS30" s="248"/>
      <c r="AT30" s="248"/>
      <c r="AU30" s="245"/>
      <c r="AV30" s="246"/>
      <c r="AW30" s="245"/>
      <c r="AX30" s="246"/>
      <c r="AY30" s="245"/>
      <c r="AZ30" s="246"/>
    </row>
    <row r="31" spans="1:52" s="134" customFormat="1" x14ac:dyDescent="0.2">
      <c r="A31" s="243" t="s">
        <v>215</v>
      </c>
      <c r="B31" s="244" t="s">
        <v>220</v>
      </c>
      <c r="C31" s="245"/>
      <c r="D31" s="245"/>
      <c r="E31" s="246"/>
      <c r="F31" s="247"/>
      <c r="G31" s="246"/>
      <c r="H31" s="247"/>
      <c r="I31" s="246"/>
      <c r="J31" s="248"/>
      <c r="K31" s="248"/>
      <c r="L31" s="248"/>
      <c r="M31" s="248"/>
      <c r="N31" s="248"/>
      <c r="O31" s="248"/>
      <c r="P31" s="248"/>
      <c r="Q31" s="247"/>
      <c r="R31" s="246"/>
      <c r="S31" s="248"/>
      <c r="T31" s="248"/>
      <c r="U31" s="247"/>
      <c r="V31" s="249"/>
      <c r="W31" s="247">
        <v>892.4</v>
      </c>
      <c r="X31" s="249"/>
      <c r="Y31" s="248">
        <f>W31</f>
        <v>892.4</v>
      </c>
      <c r="Z31" s="248">
        <f>Y31</f>
        <v>892.4</v>
      </c>
      <c r="AA31" s="248">
        <f>Z31</f>
        <v>892.4</v>
      </c>
      <c r="AB31" s="248">
        <f t="shared" ref="AB31:AB32" si="57">AA31</f>
        <v>892.4</v>
      </c>
      <c r="AC31" s="248">
        <f t="shared" ref="AC31:AC32" si="58">AB31</f>
        <v>892.4</v>
      </c>
      <c r="AD31" s="248">
        <f t="shared" ref="AD31:AD32" si="59">AC31</f>
        <v>892.4</v>
      </c>
      <c r="AE31" s="245"/>
      <c r="AF31" s="246"/>
      <c r="AG31" s="248"/>
      <c r="AH31" s="248"/>
      <c r="AI31" s="248"/>
      <c r="AJ31" s="250"/>
      <c r="AK31" s="249"/>
      <c r="AL31" s="247"/>
      <c r="AM31" s="249"/>
      <c r="AN31" s="245"/>
      <c r="AO31" s="246"/>
      <c r="AP31" s="248"/>
      <c r="AQ31" s="245"/>
      <c r="AR31" s="246"/>
      <c r="AS31" s="248"/>
      <c r="AT31" s="248"/>
      <c r="AU31" s="245"/>
      <c r="AV31" s="246"/>
      <c r="AW31" s="245"/>
      <c r="AX31" s="246"/>
      <c r="AY31" s="245"/>
      <c r="AZ31" s="246"/>
    </row>
    <row r="32" spans="1:52" s="134" customFormat="1" x14ac:dyDescent="0.2">
      <c r="A32" s="243" t="s">
        <v>216</v>
      </c>
      <c r="B32" s="244" t="s">
        <v>221</v>
      </c>
      <c r="C32" s="245"/>
      <c r="D32" s="245"/>
      <c r="E32" s="246"/>
      <c r="F32" s="247"/>
      <c r="G32" s="246"/>
      <c r="H32" s="247"/>
      <c r="I32" s="246"/>
      <c r="J32" s="248"/>
      <c r="K32" s="248"/>
      <c r="L32" s="248"/>
      <c r="M32" s="248"/>
      <c r="N32" s="248"/>
      <c r="O32" s="248"/>
      <c r="P32" s="248"/>
      <c r="Q32" s="247"/>
      <c r="R32" s="246"/>
      <c r="S32" s="248"/>
      <c r="T32" s="248"/>
      <c r="U32" s="247"/>
      <c r="V32" s="249"/>
      <c r="W32" s="247">
        <v>365.2</v>
      </c>
      <c r="X32" s="249"/>
      <c r="Y32" s="248">
        <f>W32</f>
        <v>365.2</v>
      </c>
      <c r="Z32" s="248">
        <f>Y32</f>
        <v>365.2</v>
      </c>
      <c r="AA32" s="248">
        <f>Z32</f>
        <v>365.2</v>
      </c>
      <c r="AB32" s="248">
        <f t="shared" si="57"/>
        <v>365.2</v>
      </c>
      <c r="AC32" s="248">
        <f t="shared" si="58"/>
        <v>365.2</v>
      </c>
      <c r="AD32" s="248">
        <f t="shared" si="59"/>
        <v>365.2</v>
      </c>
      <c r="AE32" s="245"/>
      <c r="AF32" s="246"/>
      <c r="AG32" s="248"/>
      <c r="AH32" s="248"/>
      <c r="AI32" s="248"/>
      <c r="AJ32" s="250"/>
      <c r="AK32" s="249"/>
      <c r="AL32" s="247"/>
      <c r="AM32" s="249"/>
      <c r="AN32" s="245"/>
      <c r="AO32" s="246"/>
      <c r="AP32" s="248"/>
      <c r="AQ32" s="245"/>
      <c r="AR32" s="246"/>
      <c r="AS32" s="248"/>
      <c r="AT32" s="248"/>
      <c r="AU32" s="245"/>
      <c r="AV32" s="246"/>
      <c r="AW32" s="245"/>
      <c r="AX32" s="246"/>
      <c r="AY32" s="245"/>
      <c r="AZ32" s="246"/>
    </row>
    <row r="33" spans="1:52" x14ac:dyDescent="0.2">
      <c r="A33" s="54"/>
      <c r="B33" s="55"/>
      <c r="C33" s="56"/>
      <c r="D33" s="56"/>
      <c r="E33" s="57"/>
      <c r="F33" s="56"/>
      <c r="G33" s="57"/>
      <c r="H33" s="56"/>
      <c r="I33" s="57"/>
      <c r="J33" s="61"/>
      <c r="K33" s="61"/>
      <c r="L33" s="61"/>
      <c r="M33" s="61"/>
      <c r="N33" s="61"/>
      <c r="O33" s="61"/>
      <c r="P33" s="61"/>
      <c r="Q33" s="56" t="s">
        <v>213</v>
      </c>
      <c r="R33" s="57"/>
      <c r="S33" s="61"/>
      <c r="T33" s="61"/>
      <c r="U33" s="56"/>
      <c r="V33" s="57"/>
      <c r="W33" s="56"/>
      <c r="X33" s="57"/>
      <c r="Y33" s="60"/>
      <c r="Z33" s="60"/>
      <c r="AA33" s="60"/>
      <c r="AB33" s="60"/>
      <c r="AC33" s="60"/>
      <c r="AD33" s="60"/>
      <c r="AE33" s="58"/>
      <c r="AF33" s="57"/>
      <c r="AG33" s="61"/>
      <c r="AH33" s="61"/>
      <c r="AI33" s="61"/>
      <c r="AJ33" s="59"/>
      <c r="AK33" s="57"/>
      <c r="AL33" s="56"/>
      <c r="AM33" s="57"/>
      <c r="AN33" s="58"/>
      <c r="AO33" s="57"/>
      <c r="AP33" s="61"/>
      <c r="AQ33" s="58"/>
      <c r="AR33" s="57"/>
      <c r="AS33" s="61"/>
      <c r="AT33" s="61"/>
      <c r="AU33" s="56"/>
      <c r="AV33" s="57"/>
      <c r="AW33" s="56"/>
      <c r="AX33" s="57"/>
      <c r="AY33" s="56"/>
      <c r="AZ33" s="57"/>
    </row>
    <row r="34" spans="1:52" x14ac:dyDescent="0.2">
      <c r="A34" s="24"/>
      <c r="B34" s="25" t="s">
        <v>32</v>
      </c>
      <c r="C34" s="26"/>
      <c r="D34" s="27"/>
      <c r="E34" s="28"/>
      <c r="F34" s="27"/>
      <c r="G34" s="28"/>
      <c r="H34" s="27"/>
      <c r="I34" s="28"/>
      <c r="J34" s="28"/>
      <c r="K34" s="28"/>
      <c r="L34" s="28"/>
      <c r="M34" s="28"/>
      <c r="N34" s="28"/>
      <c r="O34" s="28"/>
      <c r="P34" s="28"/>
      <c r="Q34" s="27"/>
      <c r="R34" s="28"/>
      <c r="S34" s="28"/>
      <c r="T34" s="28"/>
      <c r="U34" s="29"/>
      <c r="V34" s="28"/>
      <c r="W34" s="29"/>
      <c r="X34" s="28"/>
      <c r="Y34" s="31"/>
      <c r="Z34" s="30"/>
      <c r="AA34" s="31"/>
      <c r="AB34" s="31"/>
      <c r="AC34" s="31"/>
      <c r="AD34" s="31"/>
      <c r="AE34" s="29"/>
      <c r="AF34" s="28"/>
      <c r="AG34" s="27"/>
      <c r="AH34" s="27"/>
      <c r="AI34" s="32"/>
      <c r="AJ34" s="27"/>
      <c r="AK34" s="27"/>
      <c r="AL34" s="27"/>
      <c r="AM34" s="27"/>
      <c r="AN34" s="29"/>
      <c r="AO34" s="28"/>
      <c r="AP34" s="27"/>
      <c r="AQ34" s="29"/>
      <c r="AR34" s="28"/>
      <c r="AS34" s="27"/>
      <c r="AT34" s="27"/>
      <c r="AU34" s="28"/>
      <c r="AV34" s="28"/>
      <c r="AW34" s="28"/>
      <c r="AX34" s="28"/>
      <c r="AY34" s="28"/>
      <c r="AZ34" s="135"/>
    </row>
    <row r="35" spans="1:52" x14ac:dyDescent="0.2">
      <c r="A35" s="62"/>
      <c r="B35" s="63"/>
      <c r="C35" s="64"/>
      <c r="D35" s="37"/>
      <c r="E35" s="65"/>
      <c r="F35" s="37"/>
      <c r="G35" s="65"/>
      <c r="H35" s="37"/>
      <c r="I35" s="65"/>
      <c r="J35" s="69"/>
      <c r="K35" s="69"/>
      <c r="L35" s="69"/>
      <c r="M35" s="69"/>
      <c r="N35" s="69"/>
      <c r="O35" s="69"/>
      <c r="P35" s="69"/>
      <c r="Q35" s="37"/>
      <c r="R35" s="65"/>
      <c r="S35" s="69"/>
      <c r="T35" s="69"/>
      <c r="U35" s="37"/>
      <c r="V35" s="65"/>
      <c r="W35" s="37"/>
      <c r="X35" s="65"/>
      <c r="Y35" s="68"/>
      <c r="Z35" s="68"/>
      <c r="AA35" s="68"/>
      <c r="AB35" s="68"/>
      <c r="AC35" s="68"/>
      <c r="AD35" s="68"/>
      <c r="AE35" s="66"/>
      <c r="AF35" s="65"/>
      <c r="AG35" s="69"/>
      <c r="AH35" s="69"/>
      <c r="AI35" s="69"/>
      <c r="AJ35" s="67"/>
      <c r="AK35" s="65"/>
      <c r="AL35" s="37"/>
      <c r="AM35" s="65"/>
      <c r="AN35" s="66"/>
      <c r="AO35" s="65"/>
      <c r="AP35" s="69"/>
      <c r="AQ35" s="66"/>
      <c r="AR35" s="65"/>
      <c r="AS35" s="69"/>
      <c r="AT35" s="69"/>
      <c r="AU35" s="37"/>
      <c r="AV35" s="65"/>
      <c r="AW35" s="37"/>
      <c r="AX35" s="65"/>
      <c r="AY35" s="37"/>
      <c r="AZ35" s="65"/>
    </row>
    <row r="36" spans="1:52" x14ac:dyDescent="0.2">
      <c r="A36" s="70" t="s">
        <v>33</v>
      </c>
      <c r="B36" s="71" t="s">
        <v>34</v>
      </c>
      <c r="C36" s="47"/>
      <c r="D36" s="47">
        <f t="shared" ref="D36:D67" si="60">ROUND(E36*C36,1)</f>
        <v>0</v>
      </c>
      <c r="E36" s="44">
        <v>0</v>
      </c>
      <c r="F36" s="47">
        <f t="shared" ref="F36:F41" si="61">ROUND(G36*A36,1)</f>
        <v>0</v>
      </c>
      <c r="G36" s="120">
        <v>0</v>
      </c>
      <c r="H36" s="47">
        <f t="shared" ref="H36:H67" si="62">ROUND(I36*C36,1)</f>
        <v>0</v>
      </c>
      <c r="I36" s="120">
        <v>0</v>
      </c>
      <c r="J36" s="49">
        <f t="shared" ref="J36:P45" si="63">ROUND($C36*$I36*J$6,1)</f>
        <v>0</v>
      </c>
      <c r="K36" s="49">
        <f t="shared" si="63"/>
        <v>0</v>
      </c>
      <c r="L36" s="49">
        <f t="shared" si="63"/>
        <v>0</v>
      </c>
      <c r="M36" s="49">
        <f t="shared" si="63"/>
        <v>0</v>
      </c>
      <c r="N36" s="49">
        <f t="shared" si="63"/>
        <v>0</v>
      </c>
      <c r="O36" s="49">
        <f t="shared" si="63"/>
        <v>0</v>
      </c>
      <c r="P36" s="49">
        <f t="shared" si="63"/>
        <v>0</v>
      </c>
      <c r="Q36" s="47">
        <f t="shared" ref="Q36:Q67" si="64">ROUNDDOWN(C36*R36,1)</f>
        <v>0</v>
      </c>
      <c r="R36" s="120">
        <v>0</v>
      </c>
      <c r="S36" s="49">
        <f t="shared" ref="S36:T51" si="65">ROUNDDOWN($Q36*S$6,1)</f>
        <v>0</v>
      </c>
      <c r="T36" s="49">
        <f t="shared" si="65"/>
        <v>0</v>
      </c>
      <c r="U36" s="47">
        <f>ROUNDDOWN($C36*V36,1)</f>
        <v>0</v>
      </c>
      <c r="V36" s="122">
        <v>0</v>
      </c>
      <c r="W36" s="47">
        <f>ROUNDDOWN($C36*X36,1)</f>
        <v>0</v>
      </c>
      <c r="X36" s="122">
        <f>V36</f>
        <v>0</v>
      </c>
      <c r="Y36" s="49">
        <f t="shared" ref="Y36:AD45" si="66">ROUND($C36*$X36*Y$6,1)</f>
        <v>0</v>
      </c>
      <c r="Z36" s="49">
        <f t="shared" si="66"/>
        <v>0</v>
      </c>
      <c r="AA36" s="49">
        <f t="shared" si="66"/>
        <v>0</v>
      </c>
      <c r="AB36" s="49">
        <f t="shared" si="66"/>
        <v>0</v>
      </c>
      <c r="AC36" s="49">
        <f t="shared" si="66"/>
        <v>0</v>
      </c>
      <c r="AD36" s="49">
        <f t="shared" si="66"/>
        <v>0</v>
      </c>
      <c r="AE36" s="46">
        <v>0</v>
      </c>
      <c r="AF36" s="44">
        <v>0</v>
      </c>
      <c r="AG36" s="49">
        <f t="shared" ref="AG36:AI57" si="67">ROUND($AE36*AG$6,1)</f>
        <v>0</v>
      </c>
      <c r="AH36" s="49">
        <f t="shared" si="67"/>
        <v>0</v>
      </c>
      <c r="AI36" s="49">
        <f t="shared" si="67"/>
        <v>0</v>
      </c>
      <c r="AJ36" s="44">
        <v>0</v>
      </c>
      <c r="AK36" s="44">
        <v>0</v>
      </c>
      <c r="AL36" s="47"/>
      <c r="AM36" s="44"/>
      <c r="AN36" s="47">
        <f t="shared" ref="AN36:AN67" si="68">ROUNDDOWN(C36*AO36,1)</f>
        <v>0</v>
      </c>
      <c r="AO36" s="44">
        <v>0</v>
      </c>
      <c r="AP36" s="49">
        <f t="shared" ref="AP36:AP67" si="69">ROUNDDOWN($AN36*AP$6,1)</f>
        <v>0</v>
      </c>
      <c r="AQ36" s="46">
        <f t="shared" ref="AQ36:AQ67" si="70">ROUNDDOWN(AR36*C36,1)</f>
        <v>0</v>
      </c>
      <c r="AR36" s="44">
        <v>0</v>
      </c>
      <c r="AS36" s="49">
        <f t="shared" ref="AS36:AT51" si="71">ROUNDDOWN($AQ36*AS$6,1)</f>
        <v>0</v>
      </c>
      <c r="AT36" s="49">
        <f t="shared" si="71"/>
        <v>0</v>
      </c>
      <c r="AU36" s="47">
        <f>ROUNDDOWN($C36*AV36,1)</f>
        <v>0</v>
      </c>
      <c r="AV36" s="44">
        <v>0</v>
      </c>
      <c r="AW36" s="47">
        <f>ROUNDDOWN($C36*AX36,1)</f>
        <v>0</v>
      </c>
      <c r="AX36" s="44">
        <v>0</v>
      </c>
      <c r="AY36" s="47">
        <f>ROUNDDOWN($C36*AZ36,1)</f>
        <v>0</v>
      </c>
      <c r="AZ36" s="44">
        <v>0</v>
      </c>
    </row>
    <row r="37" spans="1:52" s="72" customFormat="1" ht="14.25" customHeight="1" x14ac:dyDescent="0.2">
      <c r="A37" s="70" t="s">
        <v>35</v>
      </c>
      <c r="B37" s="71" t="s">
        <v>36</v>
      </c>
      <c r="C37" s="47"/>
      <c r="D37" s="47">
        <f t="shared" si="60"/>
        <v>0</v>
      </c>
      <c r="E37" s="44">
        <v>0</v>
      </c>
      <c r="F37" s="47">
        <f t="shared" si="61"/>
        <v>0</v>
      </c>
      <c r="G37" s="120">
        <v>0</v>
      </c>
      <c r="H37" s="47">
        <f t="shared" si="62"/>
        <v>0</v>
      </c>
      <c r="I37" s="120">
        <v>0</v>
      </c>
      <c r="J37" s="49">
        <f t="shared" si="63"/>
        <v>0</v>
      </c>
      <c r="K37" s="49">
        <f t="shared" si="63"/>
        <v>0</v>
      </c>
      <c r="L37" s="49">
        <f t="shared" si="63"/>
        <v>0</v>
      </c>
      <c r="M37" s="49">
        <f t="shared" si="63"/>
        <v>0</v>
      </c>
      <c r="N37" s="49">
        <f t="shared" si="63"/>
        <v>0</v>
      </c>
      <c r="O37" s="49">
        <f t="shared" si="63"/>
        <v>0</v>
      </c>
      <c r="P37" s="49">
        <f t="shared" si="63"/>
        <v>0</v>
      </c>
      <c r="Q37" s="47">
        <f t="shared" si="64"/>
        <v>0</v>
      </c>
      <c r="R37" s="120">
        <v>0</v>
      </c>
      <c r="S37" s="49">
        <f t="shared" si="65"/>
        <v>0</v>
      </c>
      <c r="T37" s="49">
        <f t="shared" si="65"/>
        <v>0</v>
      </c>
      <c r="U37" s="47">
        <f t="shared" ref="U37:U67" si="72">ROUNDDOWN($C37*V37,1)</f>
        <v>0</v>
      </c>
      <c r="V37" s="122">
        <v>0</v>
      </c>
      <c r="W37" s="47">
        <f t="shared" ref="W37:W67" si="73">ROUNDDOWN($C37*X37,1)</f>
        <v>0</v>
      </c>
      <c r="X37" s="122">
        <f t="shared" ref="X37:X67" si="74">V37</f>
        <v>0</v>
      </c>
      <c r="Y37" s="49">
        <f t="shared" si="66"/>
        <v>0</v>
      </c>
      <c r="Z37" s="49">
        <f t="shared" si="66"/>
        <v>0</v>
      </c>
      <c r="AA37" s="49">
        <f t="shared" si="66"/>
        <v>0</v>
      </c>
      <c r="AB37" s="49">
        <f t="shared" si="66"/>
        <v>0</v>
      </c>
      <c r="AC37" s="49">
        <f t="shared" si="66"/>
        <v>0</v>
      </c>
      <c r="AD37" s="49">
        <f t="shared" si="66"/>
        <v>0</v>
      </c>
      <c r="AE37" s="46">
        <v>0</v>
      </c>
      <c r="AF37" s="44">
        <v>0</v>
      </c>
      <c r="AG37" s="49">
        <f t="shared" si="67"/>
        <v>0</v>
      </c>
      <c r="AH37" s="49">
        <f t="shared" si="67"/>
        <v>0</v>
      </c>
      <c r="AI37" s="49">
        <f t="shared" si="67"/>
        <v>0</v>
      </c>
      <c r="AJ37" s="44">
        <v>0</v>
      </c>
      <c r="AK37" s="44">
        <v>0</v>
      </c>
      <c r="AL37" s="47"/>
      <c r="AM37" s="44"/>
      <c r="AN37" s="47">
        <f t="shared" si="68"/>
        <v>0</v>
      </c>
      <c r="AO37" s="44">
        <v>0</v>
      </c>
      <c r="AP37" s="49">
        <f t="shared" si="69"/>
        <v>0</v>
      </c>
      <c r="AQ37" s="46">
        <f t="shared" si="70"/>
        <v>0</v>
      </c>
      <c r="AR37" s="44">
        <v>0</v>
      </c>
      <c r="AS37" s="49">
        <f t="shared" si="71"/>
        <v>0</v>
      </c>
      <c r="AT37" s="49">
        <f t="shared" si="71"/>
        <v>0</v>
      </c>
      <c r="AU37" s="47">
        <f t="shared" ref="AU37:AW67" si="75">ROUNDDOWN($C37*AV37,1)</f>
        <v>0</v>
      </c>
      <c r="AV37" s="44">
        <v>0</v>
      </c>
      <c r="AW37" s="47">
        <f t="shared" si="75"/>
        <v>0</v>
      </c>
      <c r="AX37" s="44">
        <v>0</v>
      </c>
      <c r="AY37" s="47">
        <f t="shared" ref="AY37" si="76">ROUNDDOWN($C37*AZ37,1)</f>
        <v>0</v>
      </c>
      <c r="AZ37" s="44">
        <v>0</v>
      </c>
    </row>
    <row r="38" spans="1:52" s="72" customFormat="1" x14ac:dyDescent="0.2">
      <c r="A38" s="70" t="s">
        <v>37</v>
      </c>
      <c r="B38" s="71" t="s">
        <v>38</v>
      </c>
      <c r="C38" s="47"/>
      <c r="D38" s="47">
        <f t="shared" si="60"/>
        <v>0</v>
      </c>
      <c r="E38" s="44">
        <v>0</v>
      </c>
      <c r="F38" s="47">
        <f t="shared" si="61"/>
        <v>0</v>
      </c>
      <c r="G38" s="120">
        <v>0</v>
      </c>
      <c r="H38" s="47">
        <f t="shared" si="62"/>
        <v>0</v>
      </c>
      <c r="I38" s="120">
        <v>0</v>
      </c>
      <c r="J38" s="49">
        <f t="shared" si="63"/>
        <v>0</v>
      </c>
      <c r="K38" s="49">
        <f t="shared" si="63"/>
        <v>0</v>
      </c>
      <c r="L38" s="49">
        <f t="shared" si="63"/>
        <v>0</v>
      </c>
      <c r="M38" s="49">
        <f t="shared" si="63"/>
        <v>0</v>
      </c>
      <c r="N38" s="49">
        <f t="shared" si="63"/>
        <v>0</v>
      </c>
      <c r="O38" s="49">
        <f t="shared" si="63"/>
        <v>0</v>
      </c>
      <c r="P38" s="49">
        <f t="shared" si="63"/>
        <v>0</v>
      </c>
      <c r="Q38" s="47">
        <f t="shared" si="64"/>
        <v>0</v>
      </c>
      <c r="R38" s="120">
        <v>0</v>
      </c>
      <c r="S38" s="49">
        <f t="shared" si="65"/>
        <v>0</v>
      </c>
      <c r="T38" s="49">
        <f t="shared" si="65"/>
        <v>0</v>
      </c>
      <c r="U38" s="47">
        <f t="shared" si="72"/>
        <v>0</v>
      </c>
      <c r="V38" s="122">
        <v>0</v>
      </c>
      <c r="W38" s="47">
        <f t="shared" si="73"/>
        <v>0</v>
      </c>
      <c r="X38" s="122">
        <f t="shared" si="74"/>
        <v>0</v>
      </c>
      <c r="Y38" s="49">
        <f t="shared" si="66"/>
        <v>0</v>
      </c>
      <c r="Z38" s="49">
        <f t="shared" si="66"/>
        <v>0</v>
      </c>
      <c r="AA38" s="49">
        <f t="shared" si="66"/>
        <v>0</v>
      </c>
      <c r="AB38" s="49">
        <f t="shared" si="66"/>
        <v>0</v>
      </c>
      <c r="AC38" s="49">
        <f t="shared" si="66"/>
        <v>0</v>
      </c>
      <c r="AD38" s="49">
        <f t="shared" si="66"/>
        <v>0</v>
      </c>
      <c r="AE38" s="46">
        <v>0</v>
      </c>
      <c r="AF38" s="44">
        <v>0</v>
      </c>
      <c r="AG38" s="49">
        <f t="shared" si="67"/>
        <v>0</v>
      </c>
      <c r="AH38" s="49">
        <f t="shared" si="67"/>
        <v>0</v>
      </c>
      <c r="AI38" s="49">
        <f t="shared" si="67"/>
        <v>0</v>
      </c>
      <c r="AJ38" s="44">
        <v>0</v>
      </c>
      <c r="AK38" s="44">
        <v>0</v>
      </c>
      <c r="AL38" s="47"/>
      <c r="AM38" s="44"/>
      <c r="AN38" s="47">
        <f t="shared" si="68"/>
        <v>0</v>
      </c>
      <c r="AO38" s="44">
        <v>0</v>
      </c>
      <c r="AP38" s="49">
        <f t="shared" si="69"/>
        <v>0</v>
      </c>
      <c r="AQ38" s="46">
        <f t="shared" si="70"/>
        <v>0</v>
      </c>
      <c r="AR38" s="44">
        <v>0</v>
      </c>
      <c r="AS38" s="49">
        <f t="shared" si="71"/>
        <v>0</v>
      </c>
      <c r="AT38" s="49">
        <f t="shared" si="71"/>
        <v>0</v>
      </c>
      <c r="AU38" s="47">
        <f t="shared" si="75"/>
        <v>0</v>
      </c>
      <c r="AV38" s="44">
        <v>0</v>
      </c>
      <c r="AW38" s="47">
        <f t="shared" si="75"/>
        <v>0</v>
      </c>
      <c r="AX38" s="44">
        <v>0</v>
      </c>
      <c r="AY38" s="47">
        <f t="shared" ref="AY38" si="77">ROUNDDOWN($C38*AZ38,1)</f>
        <v>0</v>
      </c>
      <c r="AZ38" s="44">
        <v>0</v>
      </c>
    </row>
    <row r="39" spans="1:52" s="72" customFormat="1" x14ac:dyDescent="0.2">
      <c r="A39" s="73" t="s">
        <v>39</v>
      </c>
      <c r="B39" s="74" t="s">
        <v>40</v>
      </c>
      <c r="C39" s="47"/>
      <c r="D39" s="47">
        <f t="shared" si="60"/>
        <v>0</v>
      </c>
      <c r="E39" s="44">
        <v>0</v>
      </c>
      <c r="F39" s="47">
        <f t="shared" si="61"/>
        <v>0</v>
      </c>
      <c r="G39" s="120">
        <v>0</v>
      </c>
      <c r="H39" s="47">
        <f t="shared" si="62"/>
        <v>0</v>
      </c>
      <c r="I39" s="120">
        <v>0</v>
      </c>
      <c r="J39" s="49">
        <f t="shared" si="63"/>
        <v>0</v>
      </c>
      <c r="K39" s="49">
        <f t="shared" si="63"/>
        <v>0</v>
      </c>
      <c r="L39" s="49">
        <f t="shared" si="63"/>
        <v>0</v>
      </c>
      <c r="M39" s="49">
        <f t="shared" si="63"/>
        <v>0</v>
      </c>
      <c r="N39" s="49">
        <f t="shared" si="63"/>
        <v>0</v>
      </c>
      <c r="O39" s="49">
        <f t="shared" si="63"/>
        <v>0</v>
      </c>
      <c r="P39" s="49">
        <f t="shared" si="63"/>
        <v>0</v>
      </c>
      <c r="Q39" s="47">
        <f t="shared" si="64"/>
        <v>0</v>
      </c>
      <c r="R39" s="120">
        <v>0</v>
      </c>
      <c r="S39" s="49">
        <f t="shared" si="65"/>
        <v>0</v>
      </c>
      <c r="T39" s="49">
        <f t="shared" si="65"/>
        <v>0</v>
      </c>
      <c r="U39" s="47">
        <f t="shared" si="72"/>
        <v>0</v>
      </c>
      <c r="V39" s="122">
        <v>0</v>
      </c>
      <c r="W39" s="47">
        <f t="shared" si="73"/>
        <v>0</v>
      </c>
      <c r="X39" s="122">
        <f t="shared" si="74"/>
        <v>0</v>
      </c>
      <c r="Y39" s="49">
        <f t="shared" si="66"/>
        <v>0</v>
      </c>
      <c r="Z39" s="49">
        <f t="shared" si="66"/>
        <v>0</v>
      </c>
      <c r="AA39" s="49">
        <f t="shared" si="66"/>
        <v>0</v>
      </c>
      <c r="AB39" s="49">
        <f t="shared" si="66"/>
        <v>0</v>
      </c>
      <c r="AC39" s="49">
        <f t="shared" si="66"/>
        <v>0</v>
      </c>
      <c r="AD39" s="49">
        <f t="shared" si="66"/>
        <v>0</v>
      </c>
      <c r="AE39" s="46">
        <v>0</v>
      </c>
      <c r="AF39" s="44">
        <v>0</v>
      </c>
      <c r="AG39" s="49">
        <f t="shared" si="67"/>
        <v>0</v>
      </c>
      <c r="AH39" s="49">
        <f t="shared" si="67"/>
        <v>0</v>
      </c>
      <c r="AI39" s="49">
        <f t="shared" si="67"/>
        <v>0</v>
      </c>
      <c r="AJ39" s="44">
        <v>0</v>
      </c>
      <c r="AK39" s="44">
        <v>0</v>
      </c>
      <c r="AL39" s="47"/>
      <c r="AM39" s="44"/>
      <c r="AN39" s="47">
        <f t="shared" si="68"/>
        <v>0</v>
      </c>
      <c r="AO39" s="44">
        <v>0</v>
      </c>
      <c r="AP39" s="49">
        <f t="shared" si="69"/>
        <v>0</v>
      </c>
      <c r="AQ39" s="46">
        <f t="shared" si="70"/>
        <v>0</v>
      </c>
      <c r="AR39" s="44">
        <v>0</v>
      </c>
      <c r="AS39" s="49">
        <f t="shared" si="71"/>
        <v>0</v>
      </c>
      <c r="AT39" s="49">
        <f t="shared" si="71"/>
        <v>0</v>
      </c>
      <c r="AU39" s="47">
        <f t="shared" si="75"/>
        <v>0</v>
      </c>
      <c r="AV39" s="44">
        <v>0</v>
      </c>
      <c r="AW39" s="47">
        <f t="shared" si="75"/>
        <v>0</v>
      </c>
      <c r="AX39" s="44">
        <v>0</v>
      </c>
      <c r="AY39" s="47">
        <f t="shared" ref="AY39" si="78">ROUNDDOWN($C39*AZ39,1)</f>
        <v>0</v>
      </c>
      <c r="AZ39" s="44">
        <v>0</v>
      </c>
    </row>
    <row r="40" spans="1:52" s="72" customFormat="1" x14ac:dyDescent="0.2">
      <c r="A40" s="70" t="s">
        <v>41</v>
      </c>
      <c r="B40" s="71" t="s">
        <v>42</v>
      </c>
      <c r="C40" s="47"/>
      <c r="D40" s="47">
        <f t="shared" si="60"/>
        <v>0</v>
      </c>
      <c r="E40" s="44">
        <v>0</v>
      </c>
      <c r="F40" s="47">
        <f t="shared" si="61"/>
        <v>0</v>
      </c>
      <c r="G40" s="120">
        <v>0</v>
      </c>
      <c r="H40" s="47">
        <f t="shared" si="62"/>
        <v>0</v>
      </c>
      <c r="I40" s="120">
        <v>0</v>
      </c>
      <c r="J40" s="49">
        <f t="shared" si="63"/>
        <v>0</v>
      </c>
      <c r="K40" s="49">
        <f t="shared" si="63"/>
        <v>0</v>
      </c>
      <c r="L40" s="49">
        <f t="shared" si="63"/>
        <v>0</v>
      </c>
      <c r="M40" s="49">
        <f t="shared" si="63"/>
        <v>0</v>
      </c>
      <c r="N40" s="49">
        <f t="shared" si="63"/>
        <v>0</v>
      </c>
      <c r="O40" s="49">
        <f t="shared" si="63"/>
        <v>0</v>
      </c>
      <c r="P40" s="49">
        <f t="shared" si="63"/>
        <v>0</v>
      </c>
      <c r="Q40" s="47">
        <f t="shared" si="64"/>
        <v>0</v>
      </c>
      <c r="R40" s="120">
        <v>0</v>
      </c>
      <c r="S40" s="49">
        <f t="shared" si="65"/>
        <v>0</v>
      </c>
      <c r="T40" s="49">
        <f t="shared" si="65"/>
        <v>0</v>
      </c>
      <c r="U40" s="47">
        <f t="shared" si="72"/>
        <v>0</v>
      </c>
      <c r="V40" s="122">
        <v>0</v>
      </c>
      <c r="W40" s="47">
        <f t="shared" si="73"/>
        <v>0</v>
      </c>
      <c r="X40" s="122">
        <f t="shared" si="74"/>
        <v>0</v>
      </c>
      <c r="Y40" s="49">
        <f t="shared" si="66"/>
        <v>0</v>
      </c>
      <c r="Z40" s="49">
        <f t="shared" si="66"/>
        <v>0</v>
      </c>
      <c r="AA40" s="49">
        <f t="shared" si="66"/>
        <v>0</v>
      </c>
      <c r="AB40" s="49">
        <f t="shared" si="66"/>
        <v>0</v>
      </c>
      <c r="AC40" s="49">
        <f t="shared" si="66"/>
        <v>0</v>
      </c>
      <c r="AD40" s="49">
        <f t="shared" si="66"/>
        <v>0</v>
      </c>
      <c r="AE40" s="46">
        <v>0</v>
      </c>
      <c r="AF40" s="44">
        <v>0</v>
      </c>
      <c r="AG40" s="49">
        <f t="shared" si="67"/>
        <v>0</v>
      </c>
      <c r="AH40" s="49">
        <f t="shared" si="67"/>
        <v>0</v>
      </c>
      <c r="AI40" s="49">
        <f t="shared" si="67"/>
        <v>0</v>
      </c>
      <c r="AJ40" s="44">
        <v>0</v>
      </c>
      <c r="AK40" s="44">
        <v>0</v>
      </c>
      <c r="AL40" s="47"/>
      <c r="AM40" s="44"/>
      <c r="AN40" s="47">
        <f t="shared" si="68"/>
        <v>0</v>
      </c>
      <c r="AO40" s="44">
        <v>0</v>
      </c>
      <c r="AP40" s="49">
        <f t="shared" si="69"/>
        <v>0</v>
      </c>
      <c r="AQ40" s="46">
        <f t="shared" si="70"/>
        <v>0</v>
      </c>
      <c r="AR40" s="44">
        <v>0</v>
      </c>
      <c r="AS40" s="49">
        <f t="shared" si="71"/>
        <v>0</v>
      </c>
      <c r="AT40" s="49">
        <f t="shared" si="71"/>
        <v>0</v>
      </c>
      <c r="AU40" s="47">
        <f t="shared" si="75"/>
        <v>0</v>
      </c>
      <c r="AV40" s="44">
        <v>0</v>
      </c>
      <c r="AW40" s="47">
        <f t="shared" si="75"/>
        <v>0</v>
      </c>
      <c r="AX40" s="44">
        <v>0</v>
      </c>
      <c r="AY40" s="47">
        <f t="shared" ref="AY40" si="79">ROUNDDOWN($C40*AZ40,1)</f>
        <v>0</v>
      </c>
      <c r="AZ40" s="44">
        <v>0</v>
      </c>
    </row>
    <row r="41" spans="1:52" s="72" customFormat="1" x14ac:dyDescent="0.2">
      <c r="A41" s="70" t="s">
        <v>43</v>
      </c>
      <c r="B41" s="71" t="s">
        <v>44</v>
      </c>
      <c r="C41" s="47"/>
      <c r="D41" s="47">
        <f t="shared" si="60"/>
        <v>0</v>
      </c>
      <c r="E41" s="44">
        <v>0</v>
      </c>
      <c r="F41" s="47">
        <f t="shared" si="61"/>
        <v>0</v>
      </c>
      <c r="G41" s="120">
        <v>0</v>
      </c>
      <c r="H41" s="47">
        <f t="shared" si="62"/>
        <v>0</v>
      </c>
      <c r="I41" s="120">
        <v>0</v>
      </c>
      <c r="J41" s="49">
        <f t="shared" si="63"/>
        <v>0</v>
      </c>
      <c r="K41" s="49">
        <f t="shared" si="63"/>
        <v>0</v>
      </c>
      <c r="L41" s="49">
        <f t="shared" si="63"/>
        <v>0</v>
      </c>
      <c r="M41" s="49">
        <f t="shared" si="63"/>
        <v>0</v>
      </c>
      <c r="N41" s="49">
        <f t="shared" si="63"/>
        <v>0</v>
      </c>
      <c r="O41" s="49">
        <f t="shared" si="63"/>
        <v>0</v>
      </c>
      <c r="P41" s="49">
        <f t="shared" si="63"/>
        <v>0</v>
      </c>
      <c r="Q41" s="47">
        <f t="shared" si="64"/>
        <v>0</v>
      </c>
      <c r="R41" s="120">
        <v>0</v>
      </c>
      <c r="S41" s="49">
        <f t="shared" si="65"/>
        <v>0</v>
      </c>
      <c r="T41" s="49">
        <f t="shared" si="65"/>
        <v>0</v>
      </c>
      <c r="U41" s="47">
        <f t="shared" si="72"/>
        <v>0</v>
      </c>
      <c r="V41" s="122">
        <v>0</v>
      </c>
      <c r="W41" s="47">
        <f t="shared" si="73"/>
        <v>0</v>
      </c>
      <c r="X41" s="122">
        <f t="shared" si="74"/>
        <v>0</v>
      </c>
      <c r="Y41" s="49">
        <f t="shared" si="66"/>
        <v>0</v>
      </c>
      <c r="Z41" s="49">
        <f t="shared" si="66"/>
        <v>0</v>
      </c>
      <c r="AA41" s="49">
        <f t="shared" si="66"/>
        <v>0</v>
      </c>
      <c r="AB41" s="49">
        <f t="shared" si="66"/>
        <v>0</v>
      </c>
      <c r="AC41" s="49">
        <f t="shared" si="66"/>
        <v>0</v>
      </c>
      <c r="AD41" s="49">
        <f t="shared" si="66"/>
        <v>0</v>
      </c>
      <c r="AE41" s="46">
        <v>0</v>
      </c>
      <c r="AF41" s="44">
        <v>0</v>
      </c>
      <c r="AG41" s="49">
        <f t="shared" si="67"/>
        <v>0</v>
      </c>
      <c r="AH41" s="49">
        <f t="shared" si="67"/>
        <v>0</v>
      </c>
      <c r="AI41" s="49">
        <f t="shared" si="67"/>
        <v>0</v>
      </c>
      <c r="AJ41" s="44">
        <v>0</v>
      </c>
      <c r="AK41" s="44">
        <v>0</v>
      </c>
      <c r="AL41" s="47"/>
      <c r="AM41" s="44"/>
      <c r="AN41" s="47">
        <f t="shared" si="68"/>
        <v>0</v>
      </c>
      <c r="AO41" s="44">
        <v>0</v>
      </c>
      <c r="AP41" s="49">
        <f t="shared" si="69"/>
        <v>0</v>
      </c>
      <c r="AQ41" s="46">
        <f t="shared" si="70"/>
        <v>0</v>
      </c>
      <c r="AR41" s="44">
        <v>0</v>
      </c>
      <c r="AS41" s="49">
        <f t="shared" si="71"/>
        <v>0</v>
      </c>
      <c r="AT41" s="49">
        <f t="shared" si="71"/>
        <v>0</v>
      </c>
      <c r="AU41" s="47">
        <f t="shared" si="75"/>
        <v>0</v>
      </c>
      <c r="AV41" s="44">
        <v>0</v>
      </c>
      <c r="AW41" s="47">
        <f t="shared" si="75"/>
        <v>0</v>
      </c>
      <c r="AX41" s="44">
        <v>0</v>
      </c>
      <c r="AY41" s="47">
        <f t="shared" ref="AY41" si="80">ROUNDDOWN($C41*AZ41,1)</f>
        <v>0</v>
      </c>
      <c r="AZ41" s="44">
        <v>0</v>
      </c>
    </row>
    <row r="42" spans="1:52" s="72" customFormat="1" x14ac:dyDescent="0.2">
      <c r="A42" s="70" t="s">
        <v>45</v>
      </c>
      <c r="B42" s="71" t="s">
        <v>46</v>
      </c>
      <c r="C42" s="47">
        <v>210.5</v>
      </c>
      <c r="D42" s="47">
        <f t="shared" si="60"/>
        <v>11224.7</v>
      </c>
      <c r="E42" s="120">
        <f>RCFs!$C$43</f>
        <v>53.323999999999998</v>
      </c>
      <c r="F42" s="47">
        <f t="shared" ref="F42:F57" si="81">ROUND(G42*C42,1)</f>
        <v>3088.2</v>
      </c>
      <c r="G42" s="122">
        <f>RCFs!$C$5</f>
        <v>14.670999999999999</v>
      </c>
      <c r="H42" s="47">
        <f t="shared" si="62"/>
        <v>3088.2</v>
      </c>
      <c r="I42" s="122">
        <f>RCFs!$C$5</f>
        <v>14.670999999999999</v>
      </c>
      <c r="J42" s="49">
        <f t="shared" si="63"/>
        <v>3397.1</v>
      </c>
      <c r="K42" s="49">
        <f t="shared" si="63"/>
        <v>4230.8999999999996</v>
      </c>
      <c r="L42" s="49">
        <f t="shared" si="63"/>
        <v>4539.7</v>
      </c>
      <c r="M42" s="49">
        <f t="shared" si="63"/>
        <v>5003</v>
      </c>
      <c r="N42" s="49">
        <f t="shared" si="63"/>
        <v>6176.5</v>
      </c>
      <c r="O42" s="49">
        <f t="shared" si="63"/>
        <v>6639.7</v>
      </c>
      <c r="P42" s="49">
        <f t="shared" si="63"/>
        <v>9264.7000000000007</v>
      </c>
      <c r="Q42" s="47">
        <f t="shared" si="64"/>
        <v>3035.4</v>
      </c>
      <c r="R42" s="122">
        <f>RCFs!$C$7</f>
        <v>14.42</v>
      </c>
      <c r="S42" s="49">
        <f t="shared" si="65"/>
        <v>3946</v>
      </c>
      <c r="T42" s="49">
        <f t="shared" si="65"/>
        <v>4553.1000000000004</v>
      </c>
      <c r="U42" s="47">
        <f t="shared" si="72"/>
        <v>2992.8</v>
      </c>
      <c r="V42" s="122">
        <f>RCFs!$C$9</f>
        <v>14.218</v>
      </c>
      <c r="W42" s="47">
        <f t="shared" si="73"/>
        <v>2992.8</v>
      </c>
      <c r="X42" s="122">
        <f t="shared" si="74"/>
        <v>14.218</v>
      </c>
      <c r="Y42" s="49">
        <f t="shared" si="66"/>
        <v>3292.2</v>
      </c>
      <c r="Z42" s="49">
        <f t="shared" si="66"/>
        <v>4100.3</v>
      </c>
      <c r="AA42" s="49">
        <f t="shared" si="66"/>
        <v>4848.5</v>
      </c>
      <c r="AB42" s="49">
        <f t="shared" si="66"/>
        <v>4399.5</v>
      </c>
      <c r="AC42" s="49">
        <f t="shared" si="66"/>
        <v>6494.6</v>
      </c>
      <c r="AD42" s="49">
        <f t="shared" si="66"/>
        <v>8978.7000000000007</v>
      </c>
      <c r="AE42" s="47">
        <f t="shared" ref="AE42:AE57" si="82">ROUND(AF42*C42,1)</f>
        <v>3041.7</v>
      </c>
      <c r="AF42" s="122">
        <f>RCFs!C$13</f>
        <v>14.45</v>
      </c>
      <c r="AG42" s="49">
        <f t="shared" si="67"/>
        <v>5018.8</v>
      </c>
      <c r="AH42" s="49">
        <f t="shared" si="67"/>
        <v>6387.6</v>
      </c>
      <c r="AI42" s="49">
        <f t="shared" si="67"/>
        <v>9125.1</v>
      </c>
      <c r="AJ42" s="47">
        <f t="shared" ref="AJ42:AJ56" si="83">ROUND(AK42*C42,1)</f>
        <v>2981.6</v>
      </c>
      <c r="AK42" s="122">
        <f>RCFs!C$24</f>
        <v>14.164285714285715</v>
      </c>
      <c r="AL42" s="47">
        <f t="shared" ref="AL42:AL56" si="84">ROUND(AM42*C42,1)</f>
        <v>4022.1</v>
      </c>
      <c r="AM42" s="122">
        <f>RCFs!$C$28</f>
        <v>19.107142857142858</v>
      </c>
      <c r="AN42" s="47">
        <f t="shared" si="68"/>
        <v>3203.8</v>
      </c>
      <c r="AO42" s="122">
        <f>RCFs!C$33</f>
        <v>15.22</v>
      </c>
      <c r="AP42" s="49">
        <f t="shared" si="69"/>
        <v>4805.7</v>
      </c>
      <c r="AQ42" s="46">
        <f t="shared" si="70"/>
        <v>3208</v>
      </c>
      <c r="AR42" s="122">
        <f>RCFs!$C$35</f>
        <v>15.24</v>
      </c>
      <c r="AS42" s="49">
        <f t="shared" si="71"/>
        <v>4170.3999999999996</v>
      </c>
      <c r="AT42" s="49">
        <f t="shared" si="71"/>
        <v>4651.6000000000004</v>
      </c>
      <c r="AU42" s="47">
        <f t="shared" si="75"/>
        <v>3144</v>
      </c>
      <c r="AV42" s="122">
        <f>RCFs!C$37</f>
        <v>14.936</v>
      </c>
      <c r="AW42" s="47">
        <f t="shared" si="75"/>
        <v>3216.1</v>
      </c>
      <c r="AX42" s="122">
        <f>RCFs!C$39</f>
        <v>15.278571428571428</v>
      </c>
      <c r="AY42" s="47">
        <f t="shared" ref="AY42" si="85">ROUNDDOWN($C42*AZ42,1)</f>
        <v>3100.6</v>
      </c>
      <c r="AZ42" s="122">
        <f>RCFs!$C$41</f>
        <v>14.73</v>
      </c>
    </row>
    <row r="43" spans="1:52" s="72" customFormat="1" x14ac:dyDescent="0.2">
      <c r="A43" s="70" t="s">
        <v>47</v>
      </c>
      <c r="B43" s="71" t="s">
        <v>48</v>
      </c>
      <c r="C43" s="47">
        <v>231.7</v>
      </c>
      <c r="D43" s="47">
        <f t="shared" si="60"/>
        <v>12355.2</v>
      </c>
      <c r="E43" s="120">
        <f>RCFs!$C$43</f>
        <v>53.323999999999998</v>
      </c>
      <c r="F43" s="47">
        <f t="shared" si="81"/>
        <v>3399.3</v>
      </c>
      <c r="G43" s="122">
        <f>RCFs!$C$5</f>
        <v>14.670999999999999</v>
      </c>
      <c r="H43" s="47">
        <f t="shared" si="62"/>
        <v>3399.3</v>
      </c>
      <c r="I43" s="122">
        <f>RCFs!$C$5</f>
        <v>14.670999999999999</v>
      </c>
      <c r="J43" s="49">
        <f t="shared" si="63"/>
        <v>3739.2</v>
      </c>
      <c r="K43" s="49">
        <f t="shared" si="63"/>
        <v>4657</v>
      </c>
      <c r="L43" s="49">
        <f t="shared" si="63"/>
        <v>4996.8999999999996</v>
      </c>
      <c r="M43" s="49">
        <f t="shared" si="63"/>
        <v>5506.8</v>
      </c>
      <c r="N43" s="49">
        <f t="shared" si="63"/>
        <v>6798.5</v>
      </c>
      <c r="O43" s="49">
        <f t="shared" si="63"/>
        <v>7308.4</v>
      </c>
      <c r="P43" s="49">
        <f t="shared" si="63"/>
        <v>10197.799999999999</v>
      </c>
      <c r="Q43" s="47">
        <f t="shared" si="64"/>
        <v>3341.1</v>
      </c>
      <c r="R43" s="122">
        <f>RCFs!$C$7</f>
        <v>14.42</v>
      </c>
      <c r="S43" s="49">
        <f t="shared" si="65"/>
        <v>4343.3999999999996</v>
      </c>
      <c r="T43" s="49">
        <f t="shared" si="65"/>
        <v>5011.6000000000004</v>
      </c>
      <c r="U43" s="47">
        <f t="shared" si="72"/>
        <v>3294.3</v>
      </c>
      <c r="V43" s="122">
        <f>RCFs!$C$9</f>
        <v>14.218</v>
      </c>
      <c r="W43" s="47">
        <f t="shared" si="73"/>
        <v>3294.3</v>
      </c>
      <c r="X43" s="122">
        <f t="shared" si="74"/>
        <v>14.218</v>
      </c>
      <c r="Y43" s="49">
        <f t="shared" si="66"/>
        <v>3623.7</v>
      </c>
      <c r="Z43" s="49">
        <f t="shared" si="66"/>
        <v>4513.2</v>
      </c>
      <c r="AA43" s="49">
        <f t="shared" si="66"/>
        <v>5336.8</v>
      </c>
      <c r="AB43" s="49">
        <f t="shared" si="66"/>
        <v>4842.6000000000004</v>
      </c>
      <c r="AC43" s="49">
        <f t="shared" si="66"/>
        <v>7148.7</v>
      </c>
      <c r="AD43" s="49">
        <f t="shared" si="66"/>
        <v>9882.9</v>
      </c>
      <c r="AE43" s="47">
        <f t="shared" si="82"/>
        <v>3348.1</v>
      </c>
      <c r="AF43" s="122">
        <f>RCFs!C$13</f>
        <v>14.45</v>
      </c>
      <c r="AG43" s="49">
        <f t="shared" si="67"/>
        <v>5524.4</v>
      </c>
      <c r="AH43" s="49">
        <f t="shared" si="67"/>
        <v>7031</v>
      </c>
      <c r="AI43" s="49">
        <f t="shared" si="67"/>
        <v>10044.299999999999</v>
      </c>
      <c r="AJ43" s="47">
        <f t="shared" si="83"/>
        <v>3281.9</v>
      </c>
      <c r="AK43" s="122">
        <f>RCFs!C$24</f>
        <v>14.164285714285715</v>
      </c>
      <c r="AL43" s="47">
        <f t="shared" si="84"/>
        <v>4427.1000000000004</v>
      </c>
      <c r="AM43" s="122">
        <f>RCFs!$C$28</f>
        <v>19.107142857142858</v>
      </c>
      <c r="AN43" s="47">
        <f t="shared" si="68"/>
        <v>3526.4</v>
      </c>
      <c r="AO43" s="122">
        <f>RCFs!C$33</f>
        <v>15.22</v>
      </c>
      <c r="AP43" s="49">
        <f t="shared" si="69"/>
        <v>5289.6</v>
      </c>
      <c r="AQ43" s="46">
        <f t="shared" si="70"/>
        <v>3531.1</v>
      </c>
      <c r="AR43" s="122">
        <f>RCFs!$C$35</f>
        <v>15.24</v>
      </c>
      <c r="AS43" s="49">
        <f t="shared" si="71"/>
        <v>4590.3999999999996</v>
      </c>
      <c r="AT43" s="49">
        <f t="shared" si="71"/>
        <v>5120</v>
      </c>
      <c r="AU43" s="47">
        <f t="shared" ref="AU43" si="86">ROUNDDOWN($C43*AV43,1)</f>
        <v>3460.6</v>
      </c>
      <c r="AV43" s="122">
        <f>RCFs!C$37</f>
        <v>14.936</v>
      </c>
      <c r="AW43" s="47">
        <f t="shared" ref="AW43" si="87">ROUNDDOWN($C43*AX43,1)</f>
        <v>3540</v>
      </c>
      <c r="AX43" s="122">
        <f>RCFs!C$39</f>
        <v>15.278571428571428</v>
      </c>
      <c r="AY43" s="47">
        <f t="shared" ref="AY43" si="88">ROUNDDOWN($C43*AZ43,1)</f>
        <v>3412.9</v>
      </c>
      <c r="AZ43" s="122">
        <f>RCFs!$C$41</f>
        <v>14.73</v>
      </c>
    </row>
    <row r="44" spans="1:52" s="72" customFormat="1" x14ac:dyDescent="0.2">
      <c r="A44" s="70" t="s">
        <v>49</v>
      </c>
      <c r="B44" s="71" t="s">
        <v>50</v>
      </c>
      <c r="C44" s="47">
        <v>58</v>
      </c>
      <c r="D44" s="47">
        <f t="shared" si="60"/>
        <v>3092.8</v>
      </c>
      <c r="E44" s="120">
        <f>RCFs!$C$43</f>
        <v>53.323999999999998</v>
      </c>
      <c r="F44" s="47">
        <f t="shared" si="81"/>
        <v>850.9</v>
      </c>
      <c r="G44" s="122">
        <f>RCFs!$C$5</f>
        <v>14.670999999999999</v>
      </c>
      <c r="H44" s="47">
        <f t="shared" si="62"/>
        <v>850.9</v>
      </c>
      <c r="I44" s="122">
        <f>RCFs!$C$5</f>
        <v>14.670999999999999</v>
      </c>
      <c r="J44" s="49">
        <f t="shared" si="63"/>
        <v>936</v>
      </c>
      <c r="K44" s="49">
        <f t="shared" si="63"/>
        <v>1165.8</v>
      </c>
      <c r="L44" s="49">
        <f t="shared" si="63"/>
        <v>1250.8</v>
      </c>
      <c r="M44" s="49">
        <f t="shared" si="63"/>
        <v>1378.5</v>
      </c>
      <c r="N44" s="49">
        <f t="shared" si="63"/>
        <v>1701.8</v>
      </c>
      <c r="O44" s="49">
        <f t="shared" si="63"/>
        <v>1829.5</v>
      </c>
      <c r="P44" s="49">
        <f t="shared" si="63"/>
        <v>2552.8000000000002</v>
      </c>
      <c r="Q44" s="47">
        <f t="shared" si="64"/>
        <v>836.3</v>
      </c>
      <c r="R44" s="122">
        <f>RCFs!$C$7</f>
        <v>14.42</v>
      </c>
      <c r="S44" s="49">
        <f t="shared" si="65"/>
        <v>1087.0999999999999</v>
      </c>
      <c r="T44" s="49">
        <f t="shared" si="65"/>
        <v>1254.4000000000001</v>
      </c>
      <c r="U44" s="47">
        <f t="shared" si="72"/>
        <v>824.6</v>
      </c>
      <c r="V44" s="122">
        <f>RCFs!$C$9</f>
        <v>14.218</v>
      </c>
      <c r="W44" s="47">
        <f t="shared" si="73"/>
        <v>824.6</v>
      </c>
      <c r="X44" s="122">
        <f t="shared" si="74"/>
        <v>14.218</v>
      </c>
      <c r="Y44" s="49">
        <f t="shared" si="66"/>
        <v>907.1</v>
      </c>
      <c r="Z44" s="49">
        <f t="shared" si="66"/>
        <v>1129.8</v>
      </c>
      <c r="AA44" s="49">
        <f t="shared" si="66"/>
        <v>1335.9</v>
      </c>
      <c r="AB44" s="49">
        <f t="shared" si="66"/>
        <v>1212.2</v>
      </c>
      <c r="AC44" s="49">
        <f t="shared" si="66"/>
        <v>1789.5</v>
      </c>
      <c r="AD44" s="49">
        <f t="shared" si="66"/>
        <v>2473.9</v>
      </c>
      <c r="AE44" s="47">
        <f t="shared" si="82"/>
        <v>838.1</v>
      </c>
      <c r="AF44" s="122">
        <f>RCFs!C$13</f>
        <v>14.45</v>
      </c>
      <c r="AG44" s="49">
        <f t="shared" si="67"/>
        <v>1382.9</v>
      </c>
      <c r="AH44" s="49">
        <f t="shared" si="67"/>
        <v>1760</v>
      </c>
      <c r="AI44" s="49">
        <f t="shared" si="67"/>
        <v>2514.3000000000002</v>
      </c>
      <c r="AJ44" s="47">
        <f t="shared" si="83"/>
        <v>821.5</v>
      </c>
      <c r="AK44" s="122">
        <f>RCFs!C$24</f>
        <v>14.164285714285715</v>
      </c>
      <c r="AL44" s="47">
        <f t="shared" si="84"/>
        <v>1108.2</v>
      </c>
      <c r="AM44" s="122">
        <f>RCFs!$C$28</f>
        <v>19.107142857142858</v>
      </c>
      <c r="AN44" s="47">
        <f t="shared" si="68"/>
        <v>882.7</v>
      </c>
      <c r="AO44" s="122">
        <f>RCFs!C$33</f>
        <v>15.22</v>
      </c>
      <c r="AP44" s="49">
        <f t="shared" si="69"/>
        <v>1324</v>
      </c>
      <c r="AQ44" s="46">
        <f t="shared" si="70"/>
        <v>883.9</v>
      </c>
      <c r="AR44" s="122">
        <f>RCFs!$C$35</f>
        <v>15.24</v>
      </c>
      <c r="AS44" s="49">
        <f t="shared" si="71"/>
        <v>1149</v>
      </c>
      <c r="AT44" s="49">
        <f t="shared" si="71"/>
        <v>1281.5999999999999</v>
      </c>
      <c r="AU44" s="47">
        <f t="shared" ref="AU44" si="89">ROUNDDOWN($C44*AV44,1)</f>
        <v>866.2</v>
      </c>
      <c r="AV44" s="122">
        <f>RCFs!C$37</f>
        <v>14.936</v>
      </c>
      <c r="AW44" s="47">
        <f t="shared" ref="AW44" si="90">ROUNDDOWN($C44*AX44,1)</f>
        <v>886.1</v>
      </c>
      <c r="AX44" s="122">
        <f>RCFs!C$39</f>
        <v>15.278571428571428</v>
      </c>
      <c r="AY44" s="47">
        <f t="shared" ref="AY44" si="91">ROUNDDOWN($C44*AZ44,1)</f>
        <v>854.3</v>
      </c>
      <c r="AZ44" s="122">
        <f>RCFs!$C$41</f>
        <v>14.73</v>
      </c>
    </row>
    <row r="45" spans="1:52" s="72" customFormat="1" x14ac:dyDescent="0.2">
      <c r="A45" s="70" t="s">
        <v>51</v>
      </c>
      <c r="B45" s="71" t="s">
        <v>52</v>
      </c>
      <c r="C45" s="47">
        <v>35</v>
      </c>
      <c r="D45" s="47">
        <f t="shared" si="60"/>
        <v>1866.3</v>
      </c>
      <c r="E45" s="120">
        <f>RCFs!$C$43</f>
        <v>53.323999999999998</v>
      </c>
      <c r="F45" s="47">
        <f t="shared" si="81"/>
        <v>513.5</v>
      </c>
      <c r="G45" s="122">
        <f>RCFs!$C$5</f>
        <v>14.670999999999999</v>
      </c>
      <c r="H45" s="47">
        <f t="shared" si="62"/>
        <v>513.5</v>
      </c>
      <c r="I45" s="122">
        <f>RCFs!$C$5</f>
        <v>14.670999999999999</v>
      </c>
      <c r="J45" s="49">
        <f t="shared" si="63"/>
        <v>564.79999999999995</v>
      </c>
      <c r="K45" s="49">
        <f t="shared" si="63"/>
        <v>703.5</v>
      </c>
      <c r="L45" s="49">
        <f t="shared" si="63"/>
        <v>754.8</v>
      </c>
      <c r="M45" s="49">
        <f t="shared" si="63"/>
        <v>831.8</v>
      </c>
      <c r="N45" s="49">
        <f t="shared" si="63"/>
        <v>1027</v>
      </c>
      <c r="O45" s="49">
        <f t="shared" si="63"/>
        <v>1104</v>
      </c>
      <c r="P45" s="49">
        <f t="shared" si="63"/>
        <v>1540.5</v>
      </c>
      <c r="Q45" s="47">
        <f t="shared" si="64"/>
        <v>504.7</v>
      </c>
      <c r="R45" s="122">
        <f>RCFs!$C$7</f>
        <v>14.42</v>
      </c>
      <c r="S45" s="49">
        <f t="shared" si="65"/>
        <v>656.1</v>
      </c>
      <c r="T45" s="49">
        <f t="shared" si="65"/>
        <v>757</v>
      </c>
      <c r="U45" s="47">
        <f t="shared" si="72"/>
        <v>497.6</v>
      </c>
      <c r="V45" s="122">
        <f>RCFs!$C$9</f>
        <v>14.218</v>
      </c>
      <c r="W45" s="47">
        <f t="shared" si="73"/>
        <v>497.6</v>
      </c>
      <c r="X45" s="122">
        <f t="shared" si="74"/>
        <v>14.218</v>
      </c>
      <c r="Y45" s="49">
        <f t="shared" si="66"/>
        <v>547.4</v>
      </c>
      <c r="Z45" s="49">
        <f t="shared" si="66"/>
        <v>681.8</v>
      </c>
      <c r="AA45" s="49">
        <f t="shared" si="66"/>
        <v>806.2</v>
      </c>
      <c r="AB45" s="49">
        <f t="shared" si="66"/>
        <v>731.5</v>
      </c>
      <c r="AC45" s="49">
        <f t="shared" si="66"/>
        <v>1079.9000000000001</v>
      </c>
      <c r="AD45" s="49">
        <f t="shared" si="66"/>
        <v>1492.9</v>
      </c>
      <c r="AE45" s="47">
        <f t="shared" si="82"/>
        <v>505.8</v>
      </c>
      <c r="AF45" s="122">
        <f>RCFs!C$13</f>
        <v>14.45</v>
      </c>
      <c r="AG45" s="49">
        <f t="shared" si="67"/>
        <v>834.6</v>
      </c>
      <c r="AH45" s="49">
        <f t="shared" si="67"/>
        <v>1062.2</v>
      </c>
      <c r="AI45" s="49">
        <f t="shared" si="67"/>
        <v>1517.4</v>
      </c>
      <c r="AJ45" s="47">
        <f t="shared" si="83"/>
        <v>495.8</v>
      </c>
      <c r="AK45" s="122">
        <f>RCFs!C$24</f>
        <v>14.164285714285715</v>
      </c>
      <c r="AL45" s="47">
        <f t="shared" si="84"/>
        <v>668.8</v>
      </c>
      <c r="AM45" s="122">
        <f>RCFs!$C$28</f>
        <v>19.107142857142858</v>
      </c>
      <c r="AN45" s="47">
        <f t="shared" si="68"/>
        <v>532.70000000000005</v>
      </c>
      <c r="AO45" s="122">
        <f>RCFs!C$33</f>
        <v>15.22</v>
      </c>
      <c r="AP45" s="49">
        <f t="shared" si="69"/>
        <v>799</v>
      </c>
      <c r="AQ45" s="46">
        <f t="shared" si="70"/>
        <v>533.4</v>
      </c>
      <c r="AR45" s="122">
        <f>RCFs!$C$35</f>
        <v>15.24</v>
      </c>
      <c r="AS45" s="49">
        <f t="shared" si="71"/>
        <v>693.4</v>
      </c>
      <c r="AT45" s="49">
        <f t="shared" si="71"/>
        <v>773.4</v>
      </c>
      <c r="AU45" s="47">
        <f t="shared" ref="AU45" si="92">ROUNDDOWN($C45*AV45,1)</f>
        <v>522.70000000000005</v>
      </c>
      <c r="AV45" s="122">
        <f>RCFs!C$37</f>
        <v>14.936</v>
      </c>
      <c r="AW45" s="47">
        <f t="shared" ref="AW45" si="93">ROUNDDOWN($C45*AX45,1)</f>
        <v>534.70000000000005</v>
      </c>
      <c r="AX45" s="122">
        <f>RCFs!C$39</f>
        <v>15.278571428571428</v>
      </c>
      <c r="AY45" s="47">
        <f t="shared" ref="AY45" si="94">ROUNDDOWN($C45*AZ45,1)</f>
        <v>515.5</v>
      </c>
      <c r="AZ45" s="122">
        <f>RCFs!$C$41</f>
        <v>14.73</v>
      </c>
    </row>
    <row r="46" spans="1:52" s="72" customFormat="1" x14ac:dyDescent="0.2">
      <c r="A46" s="75" t="s">
        <v>53</v>
      </c>
      <c r="B46" s="71" t="s">
        <v>54</v>
      </c>
      <c r="C46" s="47">
        <v>50</v>
      </c>
      <c r="D46" s="47">
        <f t="shared" si="60"/>
        <v>2666.2</v>
      </c>
      <c r="E46" s="120">
        <f>RCFs!$C$43</f>
        <v>53.323999999999998</v>
      </c>
      <c r="F46" s="47">
        <f t="shared" si="81"/>
        <v>733.6</v>
      </c>
      <c r="G46" s="122">
        <f>RCFs!$C$5</f>
        <v>14.670999999999999</v>
      </c>
      <c r="H46" s="47">
        <f t="shared" si="62"/>
        <v>733.6</v>
      </c>
      <c r="I46" s="122">
        <f>RCFs!$C$5</f>
        <v>14.670999999999999</v>
      </c>
      <c r="J46" s="49">
        <f t="shared" ref="J46:P55" si="95">ROUND($C46*$I46*J$6,1)</f>
        <v>806.9</v>
      </c>
      <c r="K46" s="49">
        <f t="shared" si="95"/>
        <v>1005</v>
      </c>
      <c r="L46" s="49">
        <f t="shared" si="95"/>
        <v>1078.3</v>
      </c>
      <c r="M46" s="49">
        <f t="shared" si="95"/>
        <v>1188.4000000000001</v>
      </c>
      <c r="N46" s="49">
        <f t="shared" si="95"/>
        <v>1467.1</v>
      </c>
      <c r="O46" s="49">
        <f t="shared" si="95"/>
        <v>1577.1</v>
      </c>
      <c r="P46" s="49">
        <f t="shared" si="95"/>
        <v>2200.6999999999998</v>
      </c>
      <c r="Q46" s="47">
        <f t="shared" si="64"/>
        <v>721</v>
      </c>
      <c r="R46" s="122">
        <f>RCFs!$C$7</f>
        <v>14.42</v>
      </c>
      <c r="S46" s="49">
        <f t="shared" si="65"/>
        <v>937.3</v>
      </c>
      <c r="T46" s="49">
        <f t="shared" si="65"/>
        <v>1081.5</v>
      </c>
      <c r="U46" s="47">
        <f t="shared" si="72"/>
        <v>710.9</v>
      </c>
      <c r="V46" s="122">
        <f>RCFs!$C$9</f>
        <v>14.218</v>
      </c>
      <c r="W46" s="47">
        <f t="shared" si="73"/>
        <v>710.9</v>
      </c>
      <c r="X46" s="122">
        <f t="shared" si="74"/>
        <v>14.218</v>
      </c>
      <c r="Y46" s="49">
        <f t="shared" ref="Y46:AD57" si="96">ROUND($C46*$X46*Y$6,1)</f>
        <v>782</v>
      </c>
      <c r="Z46" s="49">
        <f t="shared" si="96"/>
        <v>973.9</v>
      </c>
      <c r="AA46" s="49">
        <f t="shared" si="96"/>
        <v>1151.7</v>
      </c>
      <c r="AB46" s="49">
        <f t="shared" si="96"/>
        <v>1045</v>
      </c>
      <c r="AC46" s="49">
        <f t="shared" si="96"/>
        <v>1542.7</v>
      </c>
      <c r="AD46" s="49">
        <f t="shared" si="96"/>
        <v>2132.6999999999998</v>
      </c>
      <c r="AE46" s="47">
        <f t="shared" si="82"/>
        <v>722.5</v>
      </c>
      <c r="AF46" s="122">
        <f>RCFs!C$13</f>
        <v>14.45</v>
      </c>
      <c r="AG46" s="49">
        <f t="shared" si="67"/>
        <v>1192.0999999999999</v>
      </c>
      <c r="AH46" s="49">
        <f t="shared" si="67"/>
        <v>1517.3</v>
      </c>
      <c r="AI46" s="49">
        <f t="shared" si="67"/>
        <v>2167.5</v>
      </c>
      <c r="AJ46" s="47">
        <f t="shared" si="83"/>
        <v>708.2</v>
      </c>
      <c r="AK46" s="122">
        <f>RCFs!C$24</f>
        <v>14.164285714285715</v>
      </c>
      <c r="AL46" s="47">
        <f t="shared" si="84"/>
        <v>955.4</v>
      </c>
      <c r="AM46" s="122">
        <f>RCFs!$C$28</f>
        <v>19.107142857142858</v>
      </c>
      <c r="AN46" s="47">
        <f t="shared" si="68"/>
        <v>761</v>
      </c>
      <c r="AO46" s="122">
        <f>RCFs!C$33</f>
        <v>15.22</v>
      </c>
      <c r="AP46" s="49">
        <f t="shared" si="69"/>
        <v>1141.5</v>
      </c>
      <c r="AQ46" s="46">
        <f t="shared" si="70"/>
        <v>762</v>
      </c>
      <c r="AR46" s="122">
        <f>RCFs!$C$35</f>
        <v>15.24</v>
      </c>
      <c r="AS46" s="49">
        <f t="shared" si="71"/>
        <v>990.6</v>
      </c>
      <c r="AT46" s="49">
        <f t="shared" si="71"/>
        <v>1104.9000000000001</v>
      </c>
      <c r="AU46" s="47">
        <f t="shared" ref="AU46" si="97">ROUNDDOWN($C46*AV46,1)</f>
        <v>746.8</v>
      </c>
      <c r="AV46" s="122">
        <f>RCFs!C$37</f>
        <v>14.936</v>
      </c>
      <c r="AW46" s="47">
        <f t="shared" ref="AW46" si="98">ROUNDDOWN($C46*AX46,1)</f>
        <v>763.9</v>
      </c>
      <c r="AX46" s="122">
        <f>RCFs!C$39</f>
        <v>15.278571428571428</v>
      </c>
      <c r="AY46" s="47">
        <f t="shared" ref="AY46" si="99">ROUNDDOWN($C46*AZ46,1)</f>
        <v>736.5</v>
      </c>
      <c r="AZ46" s="122">
        <f>RCFs!$C$41</f>
        <v>14.73</v>
      </c>
    </row>
    <row r="47" spans="1:52" s="72" customFormat="1" ht="25.5" x14ac:dyDescent="0.2">
      <c r="A47" s="70" t="s">
        <v>55</v>
      </c>
      <c r="B47" s="71" t="s">
        <v>56</v>
      </c>
      <c r="C47" s="47">
        <v>252.2</v>
      </c>
      <c r="D47" s="47">
        <f t="shared" si="60"/>
        <v>13448.3</v>
      </c>
      <c r="E47" s="120">
        <f>RCFs!$C$43</f>
        <v>53.323999999999998</v>
      </c>
      <c r="F47" s="47">
        <f t="shared" si="81"/>
        <v>3700</v>
      </c>
      <c r="G47" s="122">
        <f>RCFs!$C$5</f>
        <v>14.670999999999999</v>
      </c>
      <c r="H47" s="47">
        <f t="shared" si="62"/>
        <v>3700</v>
      </c>
      <c r="I47" s="122">
        <f>RCFs!$C$5</f>
        <v>14.670999999999999</v>
      </c>
      <c r="J47" s="49">
        <f t="shared" si="95"/>
        <v>4070</v>
      </c>
      <c r="K47" s="49">
        <f t="shared" si="95"/>
        <v>5069</v>
      </c>
      <c r="L47" s="49">
        <f t="shared" si="95"/>
        <v>5439</v>
      </c>
      <c r="M47" s="49">
        <f t="shared" si="95"/>
        <v>5994</v>
      </c>
      <c r="N47" s="49">
        <f t="shared" si="95"/>
        <v>7400.1</v>
      </c>
      <c r="O47" s="49">
        <f t="shared" si="95"/>
        <v>7955.1</v>
      </c>
      <c r="P47" s="49">
        <f t="shared" si="95"/>
        <v>11100.1</v>
      </c>
      <c r="Q47" s="47">
        <f t="shared" si="64"/>
        <v>3636.7</v>
      </c>
      <c r="R47" s="122">
        <f>RCFs!$C$7</f>
        <v>14.42</v>
      </c>
      <c r="S47" s="49">
        <f t="shared" si="65"/>
        <v>4727.7</v>
      </c>
      <c r="T47" s="49">
        <f t="shared" si="65"/>
        <v>5455</v>
      </c>
      <c r="U47" s="47">
        <f t="shared" si="72"/>
        <v>3585.7</v>
      </c>
      <c r="V47" s="122">
        <f>RCFs!$C$9</f>
        <v>14.218</v>
      </c>
      <c r="W47" s="47">
        <f t="shared" si="73"/>
        <v>3585.7</v>
      </c>
      <c r="X47" s="122">
        <f t="shared" si="74"/>
        <v>14.218</v>
      </c>
      <c r="Y47" s="49">
        <f t="shared" si="96"/>
        <v>3944.4</v>
      </c>
      <c r="Z47" s="49">
        <f t="shared" si="96"/>
        <v>4912.5</v>
      </c>
      <c r="AA47" s="49">
        <f t="shared" si="96"/>
        <v>5809</v>
      </c>
      <c r="AB47" s="49">
        <f t="shared" si="96"/>
        <v>5271.1</v>
      </c>
      <c r="AC47" s="49">
        <f t="shared" si="96"/>
        <v>7781.1</v>
      </c>
      <c r="AD47" s="49">
        <f t="shared" si="96"/>
        <v>10757.3</v>
      </c>
      <c r="AE47" s="47">
        <f t="shared" si="82"/>
        <v>3644.3</v>
      </c>
      <c r="AF47" s="122">
        <f>RCFs!C$13</f>
        <v>14.45</v>
      </c>
      <c r="AG47" s="49">
        <f t="shared" si="67"/>
        <v>6013.1</v>
      </c>
      <c r="AH47" s="49">
        <f t="shared" si="67"/>
        <v>7653</v>
      </c>
      <c r="AI47" s="49">
        <f t="shared" si="67"/>
        <v>10932.9</v>
      </c>
      <c r="AJ47" s="47">
        <f t="shared" si="83"/>
        <v>3572.2</v>
      </c>
      <c r="AK47" s="122">
        <f>RCFs!C$24</f>
        <v>14.164285714285715</v>
      </c>
      <c r="AL47" s="47">
        <f t="shared" si="84"/>
        <v>4818.8</v>
      </c>
      <c r="AM47" s="122">
        <f>RCFs!$C$28</f>
        <v>19.107142857142858</v>
      </c>
      <c r="AN47" s="47">
        <f t="shared" si="68"/>
        <v>3838.4</v>
      </c>
      <c r="AO47" s="122">
        <f>RCFs!C$33</f>
        <v>15.22</v>
      </c>
      <c r="AP47" s="49">
        <f t="shared" si="69"/>
        <v>5757.6</v>
      </c>
      <c r="AQ47" s="46">
        <f t="shared" si="70"/>
        <v>3843.5</v>
      </c>
      <c r="AR47" s="122">
        <f>RCFs!$C$35</f>
        <v>15.24</v>
      </c>
      <c r="AS47" s="49">
        <f t="shared" si="71"/>
        <v>4996.5</v>
      </c>
      <c r="AT47" s="49">
        <f t="shared" si="71"/>
        <v>5573</v>
      </c>
      <c r="AU47" s="47">
        <f t="shared" ref="AU47" si="100">ROUNDDOWN($C47*AV47,1)</f>
        <v>3766.8</v>
      </c>
      <c r="AV47" s="122">
        <f>RCFs!C$37</f>
        <v>14.936</v>
      </c>
      <c r="AW47" s="47">
        <f t="shared" ref="AW47" si="101">ROUNDDOWN($C47*AX47,1)</f>
        <v>3853.2</v>
      </c>
      <c r="AX47" s="122">
        <f>RCFs!C$39</f>
        <v>15.278571428571428</v>
      </c>
      <c r="AY47" s="47">
        <f t="shared" ref="AY47" si="102">ROUNDDOWN($C47*AZ47,1)</f>
        <v>3714.9</v>
      </c>
      <c r="AZ47" s="122">
        <f>RCFs!$C$41</f>
        <v>14.73</v>
      </c>
    </row>
    <row r="48" spans="1:52" s="72" customFormat="1" ht="25.5" x14ac:dyDescent="0.2">
      <c r="A48" s="70" t="s">
        <v>57</v>
      </c>
      <c r="B48" s="71" t="s">
        <v>58</v>
      </c>
      <c r="C48" s="47">
        <v>355</v>
      </c>
      <c r="D48" s="47">
        <f t="shared" si="60"/>
        <v>18930</v>
      </c>
      <c r="E48" s="120">
        <f>RCFs!$C$43</f>
        <v>53.323999999999998</v>
      </c>
      <c r="F48" s="47">
        <f t="shared" si="81"/>
        <v>5208.2</v>
      </c>
      <c r="G48" s="122">
        <f>RCFs!$C$5</f>
        <v>14.670999999999999</v>
      </c>
      <c r="H48" s="47">
        <f t="shared" si="62"/>
        <v>5208.2</v>
      </c>
      <c r="I48" s="122">
        <f>RCFs!$C$5</f>
        <v>14.670999999999999</v>
      </c>
      <c r="J48" s="49">
        <f t="shared" si="95"/>
        <v>5729</v>
      </c>
      <c r="K48" s="49">
        <f t="shared" si="95"/>
        <v>7135.2</v>
      </c>
      <c r="L48" s="49">
        <f t="shared" si="95"/>
        <v>7656.1</v>
      </c>
      <c r="M48" s="49">
        <f t="shared" si="95"/>
        <v>8437.2999999999993</v>
      </c>
      <c r="N48" s="49">
        <f t="shared" si="95"/>
        <v>10416.4</v>
      </c>
      <c r="O48" s="49">
        <f t="shared" si="95"/>
        <v>11197.6</v>
      </c>
      <c r="P48" s="49">
        <f t="shared" si="95"/>
        <v>15624.6</v>
      </c>
      <c r="Q48" s="47">
        <f t="shared" si="64"/>
        <v>5119.1000000000004</v>
      </c>
      <c r="R48" s="122">
        <f>RCFs!$C$7</f>
        <v>14.42</v>
      </c>
      <c r="S48" s="49">
        <f t="shared" si="65"/>
        <v>6654.8</v>
      </c>
      <c r="T48" s="49">
        <f t="shared" si="65"/>
        <v>7678.6</v>
      </c>
      <c r="U48" s="47">
        <f t="shared" si="72"/>
        <v>5047.3</v>
      </c>
      <c r="V48" s="122">
        <f>RCFs!$C$9</f>
        <v>14.218</v>
      </c>
      <c r="W48" s="47">
        <f t="shared" si="73"/>
        <v>5047.3</v>
      </c>
      <c r="X48" s="122">
        <f t="shared" si="74"/>
        <v>14.218</v>
      </c>
      <c r="Y48" s="49">
        <f t="shared" si="96"/>
        <v>5552.1</v>
      </c>
      <c r="Z48" s="49">
        <f t="shared" si="96"/>
        <v>6914.9</v>
      </c>
      <c r="AA48" s="49">
        <f t="shared" si="96"/>
        <v>8176.8</v>
      </c>
      <c r="AB48" s="49">
        <f t="shared" si="96"/>
        <v>7419.7</v>
      </c>
      <c r="AC48" s="49">
        <f t="shared" si="96"/>
        <v>10952.8</v>
      </c>
      <c r="AD48" s="49">
        <f t="shared" si="96"/>
        <v>15142.2</v>
      </c>
      <c r="AE48" s="47">
        <f t="shared" si="82"/>
        <v>5129.8</v>
      </c>
      <c r="AF48" s="122">
        <f>RCFs!C$13</f>
        <v>14.45</v>
      </c>
      <c r="AG48" s="49">
        <f t="shared" si="67"/>
        <v>8464.2000000000007</v>
      </c>
      <c r="AH48" s="49">
        <f t="shared" si="67"/>
        <v>10772.6</v>
      </c>
      <c r="AI48" s="49">
        <f t="shared" si="67"/>
        <v>15389.4</v>
      </c>
      <c r="AJ48" s="47">
        <f t="shared" si="83"/>
        <v>5028.3</v>
      </c>
      <c r="AK48" s="122">
        <f>RCFs!C$24</f>
        <v>14.164285714285715</v>
      </c>
      <c r="AL48" s="47">
        <f t="shared" si="84"/>
        <v>6783</v>
      </c>
      <c r="AM48" s="122">
        <f>RCFs!$C$28</f>
        <v>19.107142857142858</v>
      </c>
      <c r="AN48" s="47">
        <f t="shared" si="68"/>
        <v>5403.1</v>
      </c>
      <c r="AO48" s="122">
        <f>RCFs!C$33</f>
        <v>15.22</v>
      </c>
      <c r="AP48" s="49">
        <f t="shared" si="69"/>
        <v>8104.6</v>
      </c>
      <c r="AQ48" s="46">
        <f t="shared" si="70"/>
        <v>5410.2</v>
      </c>
      <c r="AR48" s="122">
        <f>RCFs!$C$35</f>
        <v>15.24</v>
      </c>
      <c r="AS48" s="49">
        <f t="shared" si="71"/>
        <v>7033.2</v>
      </c>
      <c r="AT48" s="49">
        <f t="shared" si="71"/>
        <v>7844.7</v>
      </c>
      <c r="AU48" s="47">
        <f t="shared" ref="AU48" si="103">ROUNDDOWN($C48*AV48,1)</f>
        <v>5302.2</v>
      </c>
      <c r="AV48" s="122">
        <f>RCFs!C$37</f>
        <v>14.936</v>
      </c>
      <c r="AW48" s="47">
        <f t="shared" ref="AW48" si="104">ROUNDDOWN($C48*AX48,1)</f>
        <v>5423.8</v>
      </c>
      <c r="AX48" s="122">
        <f>RCFs!C$39</f>
        <v>15.278571428571428</v>
      </c>
      <c r="AY48" s="47">
        <f t="shared" ref="AY48" si="105">ROUNDDOWN($C48*AZ48,1)</f>
        <v>5229.1000000000004</v>
      </c>
      <c r="AZ48" s="122">
        <f>RCFs!$C$41</f>
        <v>14.73</v>
      </c>
    </row>
    <row r="49" spans="1:52" s="72" customFormat="1" ht="25.5" x14ac:dyDescent="0.2">
      <c r="A49" s="73" t="s">
        <v>59</v>
      </c>
      <c r="B49" s="74" t="s">
        <v>60</v>
      </c>
      <c r="C49" s="47">
        <v>200</v>
      </c>
      <c r="D49" s="47">
        <f t="shared" si="60"/>
        <v>10664.8</v>
      </c>
      <c r="E49" s="120">
        <f>RCFs!$C$43</f>
        <v>53.323999999999998</v>
      </c>
      <c r="F49" s="47">
        <f t="shared" si="81"/>
        <v>2934.2</v>
      </c>
      <c r="G49" s="122">
        <f>RCFs!$C$5</f>
        <v>14.670999999999999</v>
      </c>
      <c r="H49" s="47">
        <f t="shared" si="62"/>
        <v>2934.2</v>
      </c>
      <c r="I49" s="122">
        <f>RCFs!$C$5</f>
        <v>14.670999999999999</v>
      </c>
      <c r="J49" s="49">
        <f t="shared" si="95"/>
        <v>3227.6</v>
      </c>
      <c r="K49" s="49">
        <f t="shared" si="95"/>
        <v>4019.9</v>
      </c>
      <c r="L49" s="49">
        <f t="shared" si="95"/>
        <v>4313.3</v>
      </c>
      <c r="M49" s="49">
        <f t="shared" si="95"/>
        <v>4753.3999999999996</v>
      </c>
      <c r="N49" s="49">
        <f t="shared" si="95"/>
        <v>5868.4</v>
      </c>
      <c r="O49" s="49">
        <f t="shared" si="95"/>
        <v>6308.5</v>
      </c>
      <c r="P49" s="49">
        <f t="shared" si="95"/>
        <v>8802.6</v>
      </c>
      <c r="Q49" s="47">
        <f t="shared" si="64"/>
        <v>2884</v>
      </c>
      <c r="R49" s="122">
        <f>RCFs!$C$7</f>
        <v>14.42</v>
      </c>
      <c r="S49" s="49">
        <f t="shared" si="65"/>
        <v>3749.2</v>
      </c>
      <c r="T49" s="49">
        <f t="shared" si="65"/>
        <v>4326</v>
      </c>
      <c r="U49" s="47">
        <f t="shared" si="72"/>
        <v>2843.6</v>
      </c>
      <c r="V49" s="122">
        <f>RCFs!$C$9</f>
        <v>14.218</v>
      </c>
      <c r="W49" s="47">
        <f t="shared" si="73"/>
        <v>2843.6</v>
      </c>
      <c r="X49" s="122">
        <f t="shared" si="74"/>
        <v>14.218</v>
      </c>
      <c r="Y49" s="49">
        <f t="shared" si="96"/>
        <v>3128</v>
      </c>
      <c r="Z49" s="49">
        <f t="shared" si="96"/>
        <v>3895.7</v>
      </c>
      <c r="AA49" s="49">
        <f t="shared" si="96"/>
        <v>4606.6000000000004</v>
      </c>
      <c r="AB49" s="49">
        <f t="shared" si="96"/>
        <v>4180.1000000000004</v>
      </c>
      <c r="AC49" s="49">
        <f t="shared" si="96"/>
        <v>6170.6</v>
      </c>
      <c r="AD49" s="49">
        <f t="shared" si="96"/>
        <v>8530.7999999999993</v>
      </c>
      <c r="AE49" s="47">
        <f t="shared" si="82"/>
        <v>2890</v>
      </c>
      <c r="AF49" s="122">
        <f>RCFs!C$13</f>
        <v>14.45</v>
      </c>
      <c r="AG49" s="49">
        <f t="shared" si="67"/>
        <v>4768.5</v>
      </c>
      <c r="AH49" s="49">
        <f t="shared" si="67"/>
        <v>6069</v>
      </c>
      <c r="AI49" s="49">
        <f t="shared" si="67"/>
        <v>8670</v>
      </c>
      <c r="AJ49" s="47">
        <f t="shared" si="83"/>
        <v>2832.9</v>
      </c>
      <c r="AK49" s="122">
        <f>RCFs!C$24</f>
        <v>14.164285714285715</v>
      </c>
      <c r="AL49" s="47">
        <f t="shared" si="84"/>
        <v>3821.4</v>
      </c>
      <c r="AM49" s="122">
        <f>RCFs!$C$28</f>
        <v>19.107142857142858</v>
      </c>
      <c r="AN49" s="47">
        <f t="shared" si="68"/>
        <v>3044</v>
      </c>
      <c r="AO49" s="122">
        <f>RCFs!C$33</f>
        <v>15.22</v>
      </c>
      <c r="AP49" s="49">
        <f t="shared" si="69"/>
        <v>4566</v>
      </c>
      <c r="AQ49" s="46">
        <f t="shared" si="70"/>
        <v>3048</v>
      </c>
      <c r="AR49" s="122">
        <f>RCFs!$C$35</f>
        <v>15.24</v>
      </c>
      <c r="AS49" s="49">
        <f t="shared" si="71"/>
        <v>3962.4</v>
      </c>
      <c r="AT49" s="49">
        <f t="shared" si="71"/>
        <v>4419.6000000000004</v>
      </c>
      <c r="AU49" s="47">
        <f t="shared" ref="AU49" si="106">ROUNDDOWN($C49*AV49,1)</f>
        <v>2987.2</v>
      </c>
      <c r="AV49" s="122">
        <f>RCFs!C$37</f>
        <v>14.936</v>
      </c>
      <c r="AW49" s="47">
        <f t="shared" ref="AW49" si="107">ROUNDDOWN($C49*AX49,1)</f>
        <v>3055.7</v>
      </c>
      <c r="AX49" s="122">
        <f>RCFs!C$39</f>
        <v>15.278571428571428</v>
      </c>
      <c r="AY49" s="47">
        <f t="shared" ref="AY49" si="108">ROUNDDOWN($C49*AZ49,1)</f>
        <v>2946</v>
      </c>
      <c r="AZ49" s="122">
        <f>RCFs!$C$41</f>
        <v>14.73</v>
      </c>
    </row>
    <row r="50" spans="1:52" s="72" customFormat="1" ht="25.5" x14ac:dyDescent="0.2">
      <c r="A50" s="70" t="s">
        <v>61</v>
      </c>
      <c r="B50" s="71" t="s">
        <v>62</v>
      </c>
      <c r="C50" s="47">
        <v>94</v>
      </c>
      <c r="D50" s="47">
        <f t="shared" si="60"/>
        <v>5012.5</v>
      </c>
      <c r="E50" s="120">
        <f>RCFs!$C$43</f>
        <v>53.323999999999998</v>
      </c>
      <c r="F50" s="47">
        <f t="shared" si="81"/>
        <v>1379.1</v>
      </c>
      <c r="G50" s="122">
        <f>RCFs!$C$5</f>
        <v>14.670999999999999</v>
      </c>
      <c r="H50" s="47">
        <f t="shared" si="62"/>
        <v>1379.1</v>
      </c>
      <c r="I50" s="122">
        <f>RCFs!$C$5</f>
        <v>14.670999999999999</v>
      </c>
      <c r="J50" s="49">
        <f t="shared" si="95"/>
        <v>1517</v>
      </c>
      <c r="K50" s="49">
        <f t="shared" si="95"/>
        <v>1889.3</v>
      </c>
      <c r="L50" s="49">
        <f t="shared" si="95"/>
        <v>2027.2</v>
      </c>
      <c r="M50" s="49">
        <f t="shared" si="95"/>
        <v>2234.1</v>
      </c>
      <c r="N50" s="49">
        <f t="shared" si="95"/>
        <v>2758.1</v>
      </c>
      <c r="O50" s="49">
        <f t="shared" si="95"/>
        <v>2965</v>
      </c>
      <c r="P50" s="49">
        <f t="shared" si="95"/>
        <v>4137.2</v>
      </c>
      <c r="Q50" s="47">
        <f t="shared" si="64"/>
        <v>1355.4</v>
      </c>
      <c r="R50" s="122">
        <f>RCFs!$C$7</f>
        <v>14.42</v>
      </c>
      <c r="S50" s="49">
        <f t="shared" si="65"/>
        <v>1762</v>
      </c>
      <c r="T50" s="49">
        <f t="shared" si="65"/>
        <v>2033.1</v>
      </c>
      <c r="U50" s="47">
        <f t="shared" si="72"/>
        <v>1336.4</v>
      </c>
      <c r="V50" s="122">
        <f>RCFs!$C$9</f>
        <v>14.218</v>
      </c>
      <c r="W50" s="47">
        <f t="shared" si="73"/>
        <v>1336.4</v>
      </c>
      <c r="X50" s="122">
        <f t="shared" si="74"/>
        <v>14.218</v>
      </c>
      <c r="Y50" s="49">
        <f t="shared" si="96"/>
        <v>1470.1</v>
      </c>
      <c r="Z50" s="49">
        <f t="shared" si="96"/>
        <v>1831</v>
      </c>
      <c r="AA50" s="49">
        <f t="shared" si="96"/>
        <v>2165.1</v>
      </c>
      <c r="AB50" s="49">
        <f t="shared" si="96"/>
        <v>1964.6</v>
      </c>
      <c r="AC50" s="49">
        <f t="shared" si="96"/>
        <v>2900.2</v>
      </c>
      <c r="AD50" s="49">
        <f t="shared" si="96"/>
        <v>4009.5</v>
      </c>
      <c r="AE50" s="47">
        <f t="shared" si="82"/>
        <v>1358.3</v>
      </c>
      <c r="AF50" s="122">
        <f>RCFs!C$13</f>
        <v>14.45</v>
      </c>
      <c r="AG50" s="49">
        <f t="shared" si="67"/>
        <v>2241.1999999999998</v>
      </c>
      <c r="AH50" s="49">
        <f t="shared" si="67"/>
        <v>2852.4</v>
      </c>
      <c r="AI50" s="49">
        <f t="shared" si="67"/>
        <v>4074.9</v>
      </c>
      <c r="AJ50" s="47">
        <f t="shared" si="83"/>
        <v>1331.4</v>
      </c>
      <c r="AK50" s="122">
        <f>RCFs!C$24</f>
        <v>14.164285714285715</v>
      </c>
      <c r="AL50" s="47">
        <f t="shared" si="84"/>
        <v>1796.1</v>
      </c>
      <c r="AM50" s="122">
        <f>RCFs!$C$28</f>
        <v>19.107142857142858</v>
      </c>
      <c r="AN50" s="47">
        <f t="shared" si="68"/>
        <v>1430.6</v>
      </c>
      <c r="AO50" s="122">
        <f>RCFs!C$33</f>
        <v>15.22</v>
      </c>
      <c r="AP50" s="49">
        <f t="shared" si="69"/>
        <v>2145.9</v>
      </c>
      <c r="AQ50" s="46">
        <f t="shared" si="70"/>
        <v>1432.5</v>
      </c>
      <c r="AR50" s="122">
        <f>RCFs!$C$35</f>
        <v>15.24</v>
      </c>
      <c r="AS50" s="49">
        <f t="shared" si="71"/>
        <v>1862.2</v>
      </c>
      <c r="AT50" s="49">
        <f t="shared" si="71"/>
        <v>2077.1</v>
      </c>
      <c r="AU50" s="47">
        <f t="shared" ref="AU50" si="109">ROUNDDOWN($C50*AV50,1)</f>
        <v>1403.9</v>
      </c>
      <c r="AV50" s="122">
        <f>RCFs!C$37</f>
        <v>14.936</v>
      </c>
      <c r="AW50" s="47">
        <f t="shared" ref="AW50" si="110">ROUNDDOWN($C50*AX50,1)</f>
        <v>1436.1</v>
      </c>
      <c r="AX50" s="122">
        <f>RCFs!C$39</f>
        <v>15.278571428571428</v>
      </c>
      <c r="AY50" s="47">
        <f t="shared" ref="AY50" si="111">ROUNDDOWN($C50*AZ50,1)</f>
        <v>1384.6</v>
      </c>
      <c r="AZ50" s="122">
        <f>RCFs!$C$41</f>
        <v>14.73</v>
      </c>
    </row>
    <row r="51" spans="1:52" s="72" customFormat="1" x14ac:dyDescent="0.2">
      <c r="A51" s="70" t="s">
        <v>63</v>
      </c>
      <c r="B51" s="71" t="s">
        <v>64</v>
      </c>
      <c r="C51" s="47">
        <v>94.4</v>
      </c>
      <c r="D51" s="47">
        <f t="shared" si="60"/>
        <v>5033.8</v>
      </c>
      <c r="E51" s="120">
        <f>RCFs!$C$43</f>
        <v>53.323999999999998</v>
      </c>
      <c r="F51" s="47">
        <f t="shared" si="81"/>
        <v>1384.9</v>
      </c>
      <c r="G51" s="122">
        <f>RCFs!$C$5</f>
        <v>14.670999999999999</v>
      </c>
      <c r="H51" s="47">
        <f t="shared" si="62"/>
        <v>1384.9</v>
      </c>
      <c r="I51" s="122">
        <f>RCFs!$C$5</f>
        <v>14.670999999999999</v>
      </c>
      <c r="J51" s="49">
        <f t="shared" si="95"/>
        <v>1523.4</v>
      </c>
      <c r="K51" s="49">
        <f t="shared" si="95"/>
        <v>1897.4</v>
      </c>
      <c r="L51" s="49">
        <f t="shared" si="95"/>
        <v>2035.9</v>
      </c>
      <c r="M51" s="49">
        <f t="shared" si="95"/>
        <v>2243.6</v>
      </c>
      <c r="N51" s="49">
        <f t="shared" si="95"/>
        <v>2769.9</v>
      </c>
      <c r="O51" s="49">
        <f t="shared" si="95"/>
        <v>2977.6</v>
      </c>
      <c r="P51" s="49">
        <f t="shared" si="95"/>
        <v>4154.8</v>
      </c>
      <c r="Q51" s="47">
        <f t="shared" si="64"/>
        <v>1361.2</v>
      </c>
      <c r="R51" s="122">
        <f>RCFs!$C$7</f>
        <v>14.42</v>
      </c>
      <c r="S51" s="49">
        <f t="shared" si="65"/>
        <v>1769.5</v>
      </c>
      <c r="T51" s="49">
        <f t="shared" si="65"/>
        <v>2041.8</v>
      </c>
      <c r="U51" s="47">
        <f t="shared" si="72"/>
        <v>1342.1</v>
      </c>
      <c r="V51" s="122">
        <f>RCFs!$C$9</f>
        <v>14.218</v>
      </c>
      <c r="W51" s="47">
        <f t="shared" si="73"/>
        <v>1342.1</v>
      </c>
      <c r="X51" s="122">
        <f t="shared" si="74"/>
        <v>14.218</v>
      </c>
      <c r="Y51" s="49">
        <f t="shared" si="96"/>
        <v>1476.4</v>
      </c>
      <c r="Z51" s="49">
        <f t="shared" si="96"/>
        <v>1838.8</v>
      </c>
      <c r="AA51" s="49">
        <f t="shared" si="96"/>
        <v>2174.3000000000002</v>
      </c>
      <c r="AB51" s="49">
        <f t="shared" si="96"/>
        <v>1973</v>
      </c>
      <c r="AC51" s="49">
        <f t="shared" si="96"/>
        <v>2912.5</v>
      </c>
      <c r="AD51" s="49">
        <f t="shared" si="96"/>
        <v>4026.5</v>
      </c>
      <c r="AE51" s="47">
        <f t="shared" si="82"/>
        <v>1364.1</v>
      </c>
      <c r="AF51" s="122">
        <f>RCFs!C$13</f>
        <v>14.45</v>
      </c>
      <c r="AG51" s="49">
        <f t="shared" si="67"/>
        <v>2250.8000000000002</v>
      </c>
      <c r="AH51" s="49">
        <f t="shared" si="67"/>
        <v>2864.6</v>
      </c>
      <c r="AI51" s="49">
        <f t="shared" si="67"/>
        <v>4092.3</v>
      </c>
      <c r="AJ51" s="47">
        <f t="shared" si="83"/>
        <v>1337.1</v>
      </c>
      <c r="AK51" s="122">
        <f>RCFs!C$24</f>
        <v>14.164285714285715</v>
      </c>
      <c r="AL51" s="47">
        <f t="shared" si="84"/>
        <v>1803.7</v>
      </c>
      <c r="AM51" s="122">
        <f>RCFs!$C$28</f>
        <v>19.107142857142858</v>
      </c>
      <c r="AN51" s="47">
        <f t="shared" si="68"/>
        <v>1436.7</v>
      </c>
      <c r="AO51" s="122">
        <f>RCFs!C$33</f>
        <v>15.22</v>
      </c>
      <c r="AP51" s="49">
        <f t="shared" si="69"/>
        <v>2155</v>
      </c>
      <c r="AQ51" s="46">
        <f t="shared" si="70"/>
        <v>1438.6</v>
      </c>
      <c r="AR51" s="122">
        <f>RCFs!$C$35</f>
        <v>15.24</v>
      </c>
      <c r="AS51" s="49">
        <f t="shared" si="71"/>
        <v>1870.1</v>
      </c>
      <c r="AT51" s="49">
        <f t="shared" si="71"/>
        <v>2085.9</v>
      </c>
      <c r="AU51" s="47">
        <f t="shared" ref="AU51" si="112">ROUNDDOWN($C51*AV51,1)</f>
        <v>1409.9</v>
      </c>
      <c r="AV51" s="122">
        <f>RCFs!C$37</f>
        <v>14.936</v>
      </c>
      <c r="AW51" s="47">
        <f t="shared" ref="AW51" si="113">ROUNDDOWN($C51*AX51,1)</f>
        <v>1442.2</v>
      </c>
      <c r="AX51" s="122">
        <f>RCFs!C$39</f>
        <v>15.278571428571428</v>
      </c>
      <c r="AY51" s="47">
        <f t="shared" ref="AY51" si="114">ROUNDDOWN($C51*AZ51,1)</f>
        <v>1390.5</v>
      </c>
      <c r="AZ51" s="122">
        <f>RCFs!$C$41</f>
        <v>14.73</v>
      </c>
    </row>
    <row r="52" spans="1:52" s="72" customFormat="1" x14ac:dyDescent="0.2">
      <c r="A52" s="70" t="s">
        <v>65</v>
      </c>
      <c r="B52" s="71" t="s">
        <v>66</v>
      </c>
      <c r="C52" s="47">
        <v>40</v>
      </c>
      <c r="D52" s="47">
        <f t="shared" si="60"/>
        <v>2133</v>
      </c>
      <c r="E52" s="120">
        <f>RCFs!$C$43</f>
        <v>53.323999999999998</v>
      </c>
      <c r="F52" s="47">
        <f t="shared" si="81"/>
        <v>586.79999999999995</v>
      </c>
      <c r="G52" s="122">
        <f>RCFs!$C$5</f>
        <v>14.670999999999999</v>
      </c>
      <c r="H52" s="47">
        <f t="shared" si="62"/>
        <v>586.79999999999995</v>
      </c>
      <c r="I52" s="122">
        <f>RCFs!$C$5</f>
        <v>14.670999999999999</v>
      </c>
      <c r="J52" s="49">
        <f t="shared" si="95"/>
        <v>645.5</v>
      </c>
      <c r="K52" s="49">
        <f t="shared" si="95"/>
        <v>804</v>
      </c>
      <c r="L52" s="49">
        <f t="shared" si="95"/>
        <v>862.7</v>
      </c>
      <c r="M52" s="49">
        <f t="shared" si="95"/>
        <v>950.7</v>
      </c>
      <c r="N52" s="49">
        <f t="shared" si="95"/>
        <v>1173.7</v>
      </c>
      <c r="O52" s="49">
        <f t="shared" si="95"/>
        <v>1261.7</v>
      </c>
      <c r="P52" s="49">
        <f t="shared" si="95"/>
        <v>1760.5</v>
      </c>
      <c r="Q52" s="47">
        <f t="shared" si="64"/>
        <v>576.79999999999995</v>
      </c>
      <c r="R52" s="122">
        <f>RCFs!$C$7</f>
        <v>14.42</v>
      </c>
      <c r="S52" s="49">
        <f t="shared" ref="S52:T67" si="115">ROUNDDOWN($Q52*S$6,1)</f>
        <v>749.8</v>
      </c>
      <c r="T52" s="49">
        <f t="shared" si="115"/>
        <v>865.2</v>
      </c>
      <c r="U52" s="47">
        <f t="shared" si="72"/>
        <v>568.70000000000005</v>
      </c>
      <c r="V52" s="122">
        <f>RCFs!$C$9</f>
        <v>14.218</v>
      </c>
      <c r="W52" s="47">
        <f t="shared" si="73"/>
        <v>568.70000000000005</v>
      </c>
      <c r="X52" s="122">
        <f t="shared" si="74"/>
        <v>14.218</v>
      </c>
      <c r="Y52" s="49">
        <f t="shared" si="96"/>
        <v>625.6</v>
      </c>
      <c r="Z52" s="49">
        <f t="shared" si="96"/>
        <v>779.1</v>
      </c>
      <c r="AA52" s="49">
        <f t="shared" si="96"/>
        <v>921.3</v>
      </c>
      <c r="AB52" s="49">
        <f t="shared" si="96"/>
        <v>836</v>
      </c>
      <c r="AC52" s="49">
        <f t="shared" si="96"/>
        <v>1234.0999999999999</v>
      </c>
      <c r="AD52" s="49">
        <f t="shared" si="96"/>
        <v>1706.2</v>
      </c>
      <c r="AE52" s="47">
        <f t="shared" si="82"/>
        <v>578</v>
      </c>
      <c r="AF52" s="122">
        <f>RCFs!C$13</f>
        <v>14.45</v>
      </c>
      <c r="AG52" s="49">
        <f t="shared" si="67"/>
        <v>953.7</v>
      </c>
      <c r="AH52" s="49">
        <f t="shared" si="67"/>
        <v>1213.8</v>
      </c>
      <c r="AI52" s="49">
        <f t="shared" si="67"/>
        <v>1734</v>
      </c>
      <c r="AJ52" s="47">
        <f t="shared" si="83"/>
        <v>566.6</v>
      </c>
      <c r="AK52" s="122">
        <f>RCFs!C$24</f>
        <v>14.164285714285715</v>
      </c>
      <c r="AL52" s="47">
        <f t="shared" si="84"/>
        <v>764.3</v>
      </c>
      <c r="AM52" s="122">
        <f>RCFs!$C$28</f>
        <v>19.107142857142858</v>
      </c>
      <c r="AN52" s="47">
        <f t="shared" si="68"/>
        <v>608.79999999999995</v>
      </c>
      <c r="AO52" s="122">
        <f>RCFs!C$33</f>
        <v>15.22</v>
      </c>
      <c r="AP52" s="49">
        <f t="shared" si="69"/>
        <v>913.2</v>
      </c>
      <c r="AQ52" s="46">
        <f t="shared" si="70"/>
        <v>609.6</v>
      </c>
      <c r="AR52" s="122">
        <f>RCFs!$C$35</f>
        <v>15.24</v>
      </c>
      <c r="AS52" s="49">
        <f t="shared" ref="AS52:AT67" si="116">ROUNDDOWN($AQ52*AS$6,1)</f>
        <v>792.4</v>
      </c>
      <c r="AT52" s="49">
        <f t="shared" si="116"/>
        <v>883.9</v>
      </c>
      <c r="AU52" s="47">
        <f t="shared" ref="AU52" si="117">ROUNDDOWN($C52*AV52,1)</f>
        <v>597.4</v>
      </c>
      <c r="AV52" s="122">
        <f>RCFs!C$37</f>
        <v>14.936</v>
      </c>
      <c r="AW52" s="47">
        <f t="shared" ref="AW52" si="118">ROUNDDOWN($C52*AX52,1)</f>
        <v>611.1</v>
      </c>
      <c r="AX52" s="122">
        <f>RCFs!C$39</f>
        <v>15.278571428571428</v>
      </c>
      <c r="AY52" s="47">
        <f t="shared" ref="AY52" si="119">ROUNDDOWN($C52*AZ52,1)</f>
        <v>589.20000000000005</v>
      </c>
      <c r="AZ52" s="122">
        <f>RCFs!$C$41</f>
        <v>14.73</v>
      </c>
    </row>
    <row r="53" spans="1:52" s="72" customFormat="1" ht="25.5" x14ac:dyDescent="0.2">
      <c r="A53" s="70" t="s">
        <v>67</v>
      </c>
      <c r="B53" s="71" t="s">
        <v>68</v>
      </c>
      <c r="C53" s="47">
        <v>51</v>
      </c>
      <c r="D53" s="47">
        <f t="shared" si="60"/>
        <v>2719.5</v>
      </c>
      <c r="E53" s="120">
        <f>RCFs!$C$43</f>
        <v>53.323999999999998</v>
      </c>
      <c r="F53" s="47">
        <f t="shared" si="81"/>
        <v>748.2</v>
      </c>
      <c r="G53" s="122">
        <f>RCFs!$C$5</f>
        <v>14.670999999999999</v>
      </c>
      <c r="H53" s="47">
        <f t="shared" si="62"/>
        <v>748.2</v>
      </c>
      <c r="I53" s="122">
        <f>RCFs!$C$5</f>
        <v>14.670999999999999</v>
      </c>
      <c r="J53" s="49">
        <f t="shared" si="95"/>
        <v>823</v>
      </c>
      <c r="K53" s="49">
        <f t="shared" si="95"/>
        <v>1025.0999999999999</v>
      </c>
      <c r="L53" s="49">
        <f t="shared" si="95"/>
        <v>1099.9000000000001</v>
      </c>
      <c r="M53" s="49">
        <f t="shared" si="95"/>
        <v>1212.0999999999999</v>
      </c>
      <c r="N53" s="49">
        <f t="shared" si="95"/>
        <v>1496.4</v>
      </c>
      <c r="O53" s="49">
        <f t="shared" si="95"/>
        <v>1608.7</v>
      </c>
      <c r="P53" s="49">
        <f t="shared" si="95"/>
        <v>2244.6999999999998</v>
      </c>
      <c r="Q53" s="47">
        <f t="shared" si="64"/>
        <v>735.4</v>
      </c>
      <c r="R53" s="122">
        <f>RCFs!$C$7</f>
        <v>14.42</v>
      </c>
      <c r="S53" s="49">
        <f t="shared" si="115"/>
        <v>956</v>
      </c>
      <c r="T53" s="49">
        <f t="shared" si="115"/>
        <v>1103.0999999999999</v>
      </c>
      <c r="U53" s="47">
        <f t="shared" si="72"/>
        <v>725.1</v>
      </c>
      <c r="V53" s="122">
        <f>RCFs!$C$9</f>
        <v>14.218</v>
      </c>
      <c r="W53" s="47">
        <f t="shared" si="73"/>
        <v>725.1</v>
      </c>
      <c r="X53" s="122">
        <f t="shared" si="74"/>
        <v>14.218</v>
      </c>
      <c r="Y53" s="49">
        <f t="shared" si="96"/>
        <v>797.6</v>
      </c>
      <c r="Z53" s="49">
        <f t="shared" si="96"/>
        <v>993.4</v>
      </c>
      <c r="AA53" s="49">
        <f t="shared" si="96"/>
        <v>1174.7</v>
      </c>
      <c r="AB53" s="49">
        <f t="shared" si="96"/>
        <v>1065.9000000000001</v>
      </c>
      <c r="AC53" s="49">
        <f t="shared" si="96"/>
        <v>1573.5</v>
      </c>
      <c r="AD53" s="49">
        <f t="shared" si="96"/>
        <v>2175.4</v>
      </c>
      <c r="AE53" s="47">
        <f t="shared" si="82"/>
        <v>737</v>
      </c>
      <c r="AF53" s="122">
        <f>RCFs!C$13</f>
        <v>14.45</v>
      </c>
      <c r="AG53" s="49">
        <f t="shared" si="67"/>
        <v>1216.0999999999999</v>
      </c>
      <c r="AH53" s="49">
        <f t="shared" si="67"/>
        <v>1547.7</v>
      </c>
      <c r="AI53" s="49">
        <f t="shared" si="67"/>
        <v>2211</v>
      </c>
      <c r="AJ53" s="47">
        <f t="shared" si="83"/>
        <v>722.4</v>
      </c>
      <c r="AK53" s="122">
        <f>RCFs!C$24</f>
        <v>14.164285714285715</v>
      </c>
      <c r="AL53" s="47">
        <f t="shared" si="84"/>
        <v>974.5</v>
      </c>
      <c r="AM53" s="122">
        <f>RCFs!$C$28</f>
        <v>19.107142857142858</v>
      </c>
      <c r="AN53" s="47">
        <f t="shared" si="68"/>
        <v>776.2</v>
      </c>
      <c r="AO53" s="122">
        <f>RCFs!C$33</f>
        <v>15.22</v>
      </c>
      <c r="AP53" s="49">
        <f t="shared" si="69"/>
        <v>1164.3</v>
      </c>
      <c r="AQ53" s="46">
        <f t="shared" si="70"/>
        <v>777.2</v>
      </c>
      <c r="AR53" s="122">
        <f>RCFs!$C$35</f>
        <v>15.24</v>
      </c>
      <c r="AS53" s="49">
        <f t="shared" si="116"/>
        <v>1010.3</v>
      </c>
      <c r="AT53" s="49">
        <f t="shared" si="116"/>
        <v>1126.9000000000001</v>
      </c>
      <c r="AU53" s="47">
        <f t="shared" ref="AU53" si="120">ROUNDDOWN($C53*AV53,1)</f>
        <v>761.7</v>
      </c>
      <c r="AV53" s="122">
        <f>RCFs!C$37</f>
        <v>14.936</v>
      </c>
      <c r="AW53" s="47">
        <f t="shared" ref="AW53" si="121">ROUNDDOWN($C53*AX53,1)</f>
        <v>779.2</v>
      </c>
      <c r="AX53" s="122">
        <f>RCFs!C$39</f>
        <v>15.278571428571428</v>
      </c>
      <c r="AY53" s="47">
        <f t="shared" ref="AY53" si="122">ROUNDDOWN($C53*AZ53,1)</f>
        <v>751.2</v>
      </c>
      <c r="AZ53" s="122">
        <f>RCFs!$C$41</f>
        <v>14.73</v>
      </c>
    </row>
    <row r="54" spans="1:52" s="72" customFormat="1" x14ac:dyDescent="0.2">
      <c r="A54" s="70" t="s">
        <v>69</v>
      </c>
      <c r="B54" s="71" t="s">
        <v>70</v>
      </c>
      <c r="C54" s="47">
        <v>187</v>
      </c>
      <c r="D54" s="47">
        <f t="shared" si="60"/>
        <v>9971.6</v>
      </c>
      <c r="E54" s="120">
        <f>RCFs!$C$43</f>
        <v>53.323999999999998</v>
      </c>
      <c r="F54" s="47">
        <f t="shared" si="81"/>
        <v>2743.5</v>
      </c>
      <c r="G54" s="122">
        <f>RCFs!$C$5</f>
        <v>14.670999999999999</v>
      </c>
      <c r="H54" s="47">
        <f t="shared" si="62"/>
        <v>2743.5</v>
      </c>
      <c r="I54" s="122">
        <f>RCFs!$C$5</f>
        <v>14.670999999999999</v>
      </c>
      <c r="J54" s="49">
        <f t="shared" si="95"/>
        <v>3017.8</v>
      </c>
      <c r="K54" s="49">
        <f t="shared" si="95"/>
        <v>3758.6</v>
      </c>
      <c r="L54" s="49">
        <f t="shared" si="95"/>
        <v>4032.9</v>
      </c>
      <c r="M54" s="49">
        <f t="shared" si="95"/>
        <v>4444.3999999999996</v>
      </c>
      <c r="N54" s="49">
        <f t="shared" si="95"/>
        <v>5487</v>
      </c>
      <c r="O54" s="49">
        <f t="shared" si="95"/>
        <v>5898.5</v>
      </c>
      <c r="P54" s="49">
        <f t="shared" si="95"/>
        <v>8230.4</v>
      </c>
      <c r="Q54" s="47">
        <f t="shared" si="64"/>
        <v>2696.5</v>
      </c>
      <c r="R54" s="122">
        <f>RCFs!$C$7</f>
        <v>14.42</v>
      </c>
      <c r="S54" s="49">
        <f t="shared" si="115"/>
        <v>3505.4</v>
      </c>
      <c r="T54" s="49">
        <f t="shared" si="115"/>
        <v>4044.7</v>
      </c>
      <c r="U54" s="47">
        <f t="shared" si="72"/>
        <v>2658.7</v>
      </c>
      <c r="V54" s="122">
        <f>RCFs!$C$9</f>
        <v>14.218</v>
      </c>
      <c r="W54" s="47">
        <f t="shared" si="73"/>
        <v>2658.7</v>
      </c>
      <c r="X54" s="122">
        <f t="shared" si="74"/>
        <v>14.218</v>
      </c>
      <c r="Y54" s="49">
        <f t="shared" si="96"/>
        <v>2924.6</v>
      </c>
      <c r="Z54" s="49">
        <f t="shared" si="96"/>
        <v>3642.5</v>
      </c>
      <c r="AA54" s="49">
        <f t="shared" si="96"/>
        <v>4307.2</v>
      </c>
      <c r="AB54" s="49">
        <f t="shared" si="96"/>
        <v>3908.4</v>
      </c>
      <c r="AC54" s="49">
        <f t="shared" si="96"/>
        <v>5769.5</v>
      </c>
      <c r="AD54" s="49">
        <f t="shared" si="96"/>
        <v>7976.3</v>
      </c>
      <c r="AE54" s="47">
        <f t="shared" si="82"/>
        <v>2702.2</v>
      </c>
      <c r="AF54" s="122">
        <f>RCFs!C$13</f>
        <v>14.45</v>
      </c>
      <c r="AG54" s="49">
        <f t="shared" si="67"/>
        <v>4458.6000000000004</v>
      </c>
      <c r="AH54" s="49">
        <f t="shared" si="67"/>
        <v>5674.6</v>
      </c>
      <c r="AI54" s="49">
        <f t="shared" si="67"/>
        <v>8106.6</v>
      </c>
      <c r="AJ54" s="47">
        <f t="shared" si="83"/>
        <v>2648.7</v>
      </c>
      <c r="AK54" s="122">
        <f>RCFs!C$24</f>
        <v>14.164285714285715</v>
      </c>
      <c r="AL54" s="47">
        <f t="shared" si="84"/>
        <v>3573</v>
      </c>
      <c r="AM54" s="122">
        <f>RCFs!$C$28</f>
        <v>19.107142857142858</v>
      </c>
      <c r="AN54" s="47">
        <f t="shared" si="68"/>
        <v>2846.1</v>
      </c>
      <c r="AO54" s="122">
        <f>RCFs!C$33</f>
        <v>15.22</v>
      </c>
      <c r="AP54" s="49">
        <f t="shared" si="69"/>
        <v>4269.1000000000004</v>
      </c>
      <c r="AQ54" s="46">
        <f t="shared" si="70"/>
        <v>2849.8</v>
      </c>
      <c r="AR54" s="122">
        <f>RCFs!$C$35</f>
        <v>15.24</v>
      </c>
      <c r="AS54" s="49">
        <f t="shared" si="116"/>
        <v>3704.7</v>
      </c>
      <c r="AT54" s="49">
        <f t="shared" si="116"/>
        <v>4132.2</v>
      </c>
      <c r="AU54" s="47">
        <f t="shared" ref="AU54" si="123">ROUNDDOWN($C54*AV54,1)</f>
        <v>2793</v>
      </c>
      <c r="AV54" s="122">
        <f>RCFs!C$37</f>
        <v>14.936</v>
      </c>
      <c r="AW54" s="47">
        <f t="shared" ref="AW54" si="124">ROUNDDOWN($C54*AX54,1)</f>
        <v>2857</v>
      </c>
      <c r="AX54" s="122">
        <f>RCFs!C$39</f>
        <v>15.278571428571428</v>
      </c>
      <c r="AY54" s="47">
        <f t="shared" ref="AY54" si="125">ROUNDDOWN($C54*AZ54,1)</f>
        <v>2754.5</v>
      </c>
      <c r="AZ54" s="122">
        <f>RCFs!$C$41</f>
        <v>14.73</v>
      </c>
    </row>
    <row r="55" spans="1:52" s="72" customFormat="1" x14ac:dyDescent="0.2">
      <c r="A55" s="73" t="s">
        <v>71</v>
      </c>
      <c r="B55" s="74" t="s">
        <v>72</v>
      </c>
      <c r="C55" s="47">
        <v>229.4</v>
      </c>
      <c r="D55" s="47">
        <f t="shared" si="60"/>
        <v>12232.5</v>
      </c>
      <c r="E55" s="120">
        <f>RCFs!$C$43</f>
        <v>53.323999999999998</v>
      </c>
      <c r="F55" s="47">
        <f t="shared" si="81"/>
        <v>3365.5</v>
      </c>
      <c r="G55" s="122">
        <f>RCFs!$C$5</f>
        <v>14.670999999999999</v>
      </c>
      <c r="H55" s="47">
        <f t="shared" si="62"/>
        <v>3365.5</v>
      </c>
      <c r="I55" s="122">
        <f>RCFs!$C$5</f>
        <v>14.670999999999999</v>
      </c>
      <c r="J55" s="49">
        <f t="shared" si="95"/>
        <v>3702.1</v>
      </c>
      <c r="K55" s="49">
        <f t="shared" si="95"/>
        <v>4610.8</v>
      </c>
      <c r="L55" s="49">
        <f t="shared" si="95"/>
        <v>4947.3</v>
      </c>
      <c r="M55" s="49">
        <f t="shared" si="95"/>
        <v>5452.2</v>
      </c>
      <c r="N55" s="49">
        <f t="shared" si="95"/>
        <v>6731.1</v>
      </c>
      <c r="O55" s="49">
        <f t="shared" si="95"/>
        <v>7235.9</v>
      </c>
      <c r="P55" s="49">
        <f t="shared" si="95"/>
        <v>10096.6</v>
      </c>
      <c r="Q55" s="47">
        <f t="shared" si="64"/>
        <v>3307.9</v>
      </c>
      <c r="R55" s="122">
        <f>RCFs!$C$7</f>
        <v>14.42</v>
      </c>
      <c r="S55" s="49">
        <f t="shared" si="115"/>
        <v>4300.2</v>
      </c>
      <c r="T55" s="49">
        <f t="shared" si="115"/>
        <v>4961.8</v>
      </c>
      <c r="U55" s="47">
        <f t="shared" si="72"/>
        <v>3261.6</v>
      </c>
      <c r="V55" s="122">
        <f>RCFs!$C$9</f>
        <v>14.218</v>
      </c>
      <c r="W55" s="47">
        <f t="shared" si="73"/>
        <v>3261.6</v>
      </c>
      <c r="X55" s="122">
        <f t="shared" si="74"/>
        <v>14.218</v>
      </c>
      <c r="Y55" s="49">
        <f t="shared" si="96"/>
        <v>3587.8</v>
      </c>
      <c r="Z55" s="49">
        <f t="shared" si="96"/>
        <v>4468.3999999999996</v>
      </c>
      <c r="AA55" s="49">
        <f t="shared" si="96"/>
        <v>5283.8</v>
      </c>
      <c r="AB55" s="49">
        <f t="shared" si="96"/>
        <v>4794.6000000000004</v>
      </c>
      <c r="AC55" s="49">
        <f t="shared" si="96"/>
        <v>7077.7</v>
      </c>
      <c r="AD55" s="49">
        <f t="shared" si="96"/>
        <v>9784.7999999999993</v>
      </c>
      <c r="AE55" s="47">
        <f t="shared" si="82"/>
        <v>3314.8</v>
      </c>
      <c r="AF55" s="122">
        <f>RCFs!C$13</f>
        <v>14.45</v>
      </c>
      <c r="AG55" s="49">
        <f t="shared" si="67"/>
        <v>5469.4</v>
      </c>
      <c r="AH55" s="49">
        <f t="shared" si="67"/>
        <v>6961.1</v>
      </c>
      <c r="AI55" s="49">
        <f t="shared" si="67"/>
        <v>9944.4</v>
      </c>
      <c r="AJ55" s="47">
        <f t="shared" si="83"/>
        <v>3249.3</v>
      </c>
      <c r="AK55" s="122">
        <f>RCFs!C$24</f>
        <v>14.164285714285715</v>
      </c>
      <c r="AL55" s="47">
        <f t="shared" si="84"/>
        <v>4383.2</v>
      </c>
      <c r="AM55" s="122">
        <f>RCFs!$C$28</f>
        <v>19.107142857142858</v>
      </c>
      <c r="AN55" s="47">
        <f t="shared" si="68"/>
        <v>3491.4</v>
      </c>
      <c r="AO55" s="122">
        <f>RCFs!C$33</f>
        <v>15.22</v>
      </c>
      <c r="AP55" s="49">
        <f t="shared" si="69"/>
        <v>5237.1000000000004</v>
      </c>
      <c r="AQ55" s="46">
        <f t="shared" si="70"/>
        <v>3496</v>
      </c>
      <c r="AR55" s="122">
        <f>RCFs!$C$35</f>
        <v>15.24</v>
      </c>
      <c r="AS55" s="49">
        <f t="shared" si="116"/>
        <v>4544.8</v>
      </c>
      <c r="AT55" s="49">
        <f t="shared" si="116"/>
        <v>5069.2</v>
      </c>
      <c r="AU55" s="47">
        <f t="shared" ref="AU55" si="126">ROUNDDOWN($C55*AV55,1)</f>
        <v>3426.3</v>
      </c>
      <c r="AV55" s="122">
        <f>RCFs!C$37</f>
        <v>14.936</v>
      </c>
      <c r="AW55" s="47">
        <f t="shared" ref="AW55" si="127">ROUNDDOWN($C55*AX55,1)</f>
        <v>3504.9</v>
      </c>
      <c r="AX55" s="122">
        <f>RCFs!C$39</f>
        <v>15.278571428571428</v>
      </c>
      <c r="AY55" s="47">
        <f t="shared" ref="AY55" si="128">ROUNDDOWN($C55*AZ55,1)</f>
        <v>3379</v>
      </c>
      <c r="AZ55" s="122">
        <f>RCFs!$C$41</f>
        <v>14.73</v>
      </c>
    </row>
    <row r="56" spans="1:52" s="72" customFormat="1" ht="25.5" x14ac:dyDescent="0.2">
      <c r="A56" s="70" t="s">
        <v>73</v>
      </c>
      <c r="B56" s="71" t="s">
        <v>74</v>
      </c>
      <c r="C56" s="47">
        <v>16</v>
      </c>
      <c r="D56" s="47">
        <f t="shared" si="60"/>
        <v>853.2</v>
      </c>
      <c r="E56" s="120">
        <f>RCFs!$C$43</f>
        <v>53.323999999999998</v>
      </c>
      <c r="F56" s="47">
        <f t="shared" si="81"/>
        <v>234.7</v>
      </c>
      <c r="G56" s="122">
        <f>RCFs!$C$5</f>
        <v>14.670999999999999</v>
      </c>
      <c r="H56" s="47">
        <f t="shared" si="62"/>
        <v>234.7</v>
      </c>
      <c r="I56" s="122">
        <f>RCFs!$C$5</f>
        <v>14.670999999999999</v>
      </c>
      <c r="J56" s="49">
        <f t="shared" ref="J56:P67" si="129">ROUND($C56*$I56*J$6,1)</f>
        <v>258.2</v>
      </c>
      <c r="K56" s="49">
        <f t="shared" si="129"/>
        <v>321.60000000000002</v>
      </c>
      <c r="L56" s="49">
        <f t="shared" si="129"/>
        <v>345.1</v>
      </c>
      <c r="M56" s="49">
        <f t="shared" si="129"/>
        <v>380.3</v>
      </c>
      <c r="N56" s="49">
        <f t="shared" si="129"/>
        <v>469.5</v>
      </c>
      <c r="O56" s="49">
        <f t="shared" si="129"/>
        <v>504.7</v>
      </c>
      <c r="P56" s="49">
        <f t="shared" si="129"/>
        <v>704.2</v>
      </c>
      <c r="Q56" s="47">
        <f t="shared" si="64"/>
        <v>230.7</v>
      </c>
      <c r="R56" s="122">
        <f>RCFs!$C$7</f>
        <v>14.42</v>
      </c>
      <c r="S56" s="49">
        <f t="shared" si="115"/>
        <v>299.89999999999998</v>
      </c>
      <c r="T56" s="49">
        <f t="shared" si="115"/>
        <v>346</v>
      </c>
      <c r="U56" s="47">
        <f t="shared" si="72"/>
        <v>227.4</v>
      </c>
      <c r="V56" s="122">
        <f>RCFs!$C$9</f>
        <v>14.218</v>
      </c>
      <c r="W56" s="47">
        <f t="shared" si="73"/>
        <v>227.4</v>
      </c>
      <c r="X56" s="122">
        <f t="shared" si="74"/>
        <v>14.218</v>
      </c>
      <c r="Y56" s="49">
        <f t="shared" si="96"/>
        <v>250.2</v>
      </c>
      <c r="Z56" s="49">
        <f t="shared" si="96"/>
        <v>311.7</v>
      </c>
      <c r="AA56" s="49">
        <f t="shared" si="96"/>
        <v>368.5</v>
      </c>
      <c r="AB56" s="49">
        <f t="shared" si="96"/>
        <v>334.4</v>
      </c>
      <c r="AC56" s="49">
        <f t="shared" si="96"/>
        <v>493.6</v>
      </c>
      <c r="AD56" s="49">
        <f t="shared" si="96"/>
        <v>682.5</v>
      </c>
      <c r="AE56" s="47">
        <f t="shared" si="82"/>
        <v>231.2</v>
      </c>
      <c r="AF56" s="122">
        <f>RCFs!C$13</f>
        <v>14.45</v>
      </c>
      <c r="AG56" s="49">
        <f t="shared" si="67"/>
        <v>381.5</v>
      </c>
      <c r="AH56" s="49">
        <f t="shared" si="67"/>
        <v>485.5</v>
      </c>
      <c r="AI56" s="49">
        <f t="shared" si="67"/>
        <v>693.6</v>
      </c>
      <c r="AJ56" s="47">
        <f t="shared" si="83"/>
        <v>226.6</v>
      </c>
      <c r="AK56" s="122">
        <f>RCFs!C$24</f>
        <v>14.164285714285715</v>
      </c>
      <c r="AL56" s="47">
        <f t="shared" si="84"/>
        <v>305.7</v>
      </c>
      <c r="AM56" s="122">
        <f>RCFs!$C$28</f>
        <v>19.107142857142858</v>
      </c>
      <c r="AN56" s="47">
        <f t="shared" si="68"/>
        <v>243.5</v>
      </c>
      <c r="AO56" s="122">
        <f>RCFs!C$33</f>
        <v>15.22</v>
      </c>
      <c r="AP56" s="49">
        <f t="shared" si="69"/>
        <v>365.2</v>
      </c>
      <c r="AQ56" s="46">
        <f t="shared" si="70"/>
        <v>243.8</v>
      </c>
      <c r="AR56" s="122">
        <f>RCFs!$C$35</f>
        <v>15.24</v>
      </c>
      <c r="AS56" s="49">
        <f t="shared" si="116"/>
        <v>316.89999999999998</v>
      </c>
      <c r="AT56" s="49">
        <f t="shared" si="116"/>
        <v>353.5</v>
      </c>
      <c r="AU56" s="47">
        <f t="shared" ref="AU56" si="130">ROUNDDOWN($C56*AV56,1)</f>
        <v>238.9</v>
      </c>
      <c r="AV56" s="122">
        <f>RCFs!C$37</f>
        <v>14.936</v>
      </c>
      <c r="AW56" s="47">
        <f t="shared" ref="AW56" si="131">ROUNDDOWN($C56*AX56,1)</f>
        <v>244.4</v>
      </c>
      <c r="AX56" s="122">
        <f>RCFs!C$39</f>
        <v>15.278571428571428</v>
      </c>
      <c r="AY56" s="47">
        <f t="shared" ref="AY56" si="132">ROUNDDOWN($C56*AZ56,1)</f>
        <v>235.6</v>
      </c>
      <c r="AZ56" s="122">
        <f>RCFs!$C$41</f>
        <v>14.73</v>
      </c>
    </row>
    <row r="57" spans="1:52" s="72" customFormat="1" ht="38.25" x14ac:dyDescent="0.2">
      <c r="A57" s="70" t="s">
        <v>75</v>
      </c>
      <c r="B57" s="71" t="s">
        <v>76</v>
      </c>
      <c r="C57" s="47">
        <v>282</v>
      </c>
      <c r="D57" s="47"/>
      <c r="E57" s="122">
        <v>0</v>
      </c>
      <c r="F57" s="47">
        <f t="shared" si="81"/>
        <v>4137.2</v>
      </c>
      <c r="G57" s="122">
        <f>RCFs!$C$5</f>
        <v>14.670999999999999</v>
      </c>
      <c r="H57" s="47">
        <f t="shared" si="62"/>
        <v>4137.2</v>
      </c>
      <c r="I57" s="122">
        <f>RCFs!$C$5</f>
        <v>14.670999999999999</v>
      </c>
      <c r="J57" s="49">
        <f t="shared" si="129"/>
        <v>4550.8999999999996</v>
      </c>
      <c r="K57" s="49">
        <f t="shared" si="129"/>
        <v>5668</v>
      </c>
      <c r="L57" s="49">
        <f t="shared" si="129"/>
        <v>6081.7</v>
      </c>
      <c r="M57" s="49">
        <f t="shared" si="129"/>
        <v>6702.3</v>
      </c>
      <c r="N57" s="49">
        <f t="shared" si="129"/>
        <v>8274.4</v>
      </c>
      <c r="O57" s="49">
        <f t="shared" si="129"/>
        <v>8895</v>
      </c>
      <c r="P57" s="49">
        <f t="shared" si="129"/>
        <v>12411.7</v>
      </c>
      <c r="Q57" s="47">
        <f t="shared" si="64"/>
        <v>4066.4</v>
      </c>
      <c r="R57" s="122">
        <f>RCFs!$C$7</f>
        <v>14.42</v>
      </c>
      <c r="S57" s="49">
        <f t="shared" si="115"/>
        <v>5286.3</v>
      </c>
      <c r="T57" s="49">
        <f t="shared" si="115"/>
        <v>6099.6</v>
      </c>
      <c r="U57" s="47">
        <f t="shared" si="72"/>
        <v>4009.4</v>
      </c>
      <c r="V57" s="122">
        <f>RCFs!$C$9</f>
        <v>14.218</v>
      </c>
      <c r="W57" s="47">
        <f t="shared" si="73"/>
        <v>4009.4</v>
      </c>
      <c r="X57" s="122">
        <f t="shared" si="74"/>
        <v>14.218</v>
      </c>
      <c r="Y57" s="49">
        <f t="shared" si="96"/>
        <v>4410.3999999999996</v>
      </c>
      <c r="Z57" s="49">
        <f t="shared" si="96"/>
        <v>5493</v>
      </c>
      <c r="AA57" s="49">
        <f t="shared" si="96"/>
        <v>6495.4</v>
      </c>
      <c r="AB57" s="49">
        <f t="shared" si="96"/>
        <v>5893.9</v>
      </c>
      <c r="AC57" s="49">
        <f t="shared" si="96"/>
        <v>8700.6</v>
      </c>
      <c r="AD57" s="49">
        <f t="shared" si="96"/>
        <v>12028.4</v>
      </c>
      <c r="AE57" s="47">
        <f t="shared" si="82"/>
        <v>4074.9</v>
      </c>
      <c r="AF57" s="122">
        <f>RCFs!C$13</f>
        <v>14.45</v>
      </c>
      <c r="AG57" s="49">
        <f t="shared" si="67"/>
        <v>6723.6</v>
      </c>
      <c r="AH57" s="49">
        <f t="shared" si="67"/>
        <v>8557.2999999999993</v>
      </c>
      <c r="AI57" s="49">
        <f t="shared" si="67"/>
        <v>12224.7</v>
      </c>
      <c r="AJ57" s="196">
        <v>4311.2</v>
      </c>
      <c r="AK57" s="122">
        <f>AJ57/C57</f>
        <v>15.287943262411346</v>
      </c>
      <c r="AL57" s="197">
        <v>9135.7000000000007</v>
      </c>
      <c r="AM57" s="122">
        <f>AL57/C57</f>
        <v>32.396099290780143</v>
      </c>
      <c r="AN57" s="47">
        <f t="shared" si="68"/>
        <v>4292</v>
      </c>
      <c r="AO57" s="122">
        <f>RCFs!C$33</f>
        <v>15.22</v>
      </c>
      <c r="AP57" s="49">
        <f t="shared" si="69"/>
        <v>6438</v>
      </c>
      <c r="AQ57" s="198">
        <v>7925.92</v>
      </c>
      <c r="AR57" s="122">
        <f>AQ57/C57</f>
        <v>28.106099290780143</v>
      </c>
      <c r="AS57" s="199">
        <v>10303.700000000001</v>
      </c>
      <c r="AT57" s="199">
        <f>AS57</f>
        <v>10303.700000000001</v>
      </c>
      <c r="AU57" s="47">
        <f t="shared" ref="AU57:AU59" si="133">ROUNDDOWN($C57*AV57,1)</f>
        <v>4211.8999999999996</v>
      </c>
      <c r="AV57" s="122">
        <f>RCFs!C$37</f>
        <v>14.936</v>
      </c>
      <c r="AW57" s="47">
        <f t="shared" ref="AW57:AW59" si="134">ROUNDDOWN($C57*AX57,1)</f>
        <v>4308.5</v>
      </c>
      <c r="AX57" s="122">
        <f>RCFs!C$39</f>
        <v>15.278571428571428</v>
      </c>
      <c r="AY57" s="47">
        <f t="shared" ref="AY57:AY59" si="135">ROUNDDOWN($C57*AZ57,1)</f>
        <v>4153.8</v>
      </c>
      <c r="AZ57" s="122">
        <f>RCFs!$C$41</f>
        <v>14.73</v>
      </c>
    </row>
    <row r="58" spans="1:52" s="72" customFormat="1" ht="51" x14ac:dyDescent="0.2">
      <c r="A58" s="113" t="s">
        <v>75</v>
      </c>
      <c r="B58" s="114" t="s">
        <v>110</v>
      </c>
      <c r="C58" s="115">
        <v>462</v>
      </c>
      <c r="D58" s="126">
        <f t="shared" si="60"/>
        <v>21378.5</v>
      </c>
      <c r="E58" s="121">
        <f>RCFs!K43</f>
        <v>46.273845648303308</v>
      </c>
      <c r="F58" s="47">
        <f>ROUND(G58*A58,1)</f>
        <v>0</v>
      </c>
      <c r="G58" s="121"/>
      <c r="H58" s="47">
        <f t="shared" si="62"/>
        <v>0</v>
      </c>
      <c r="I58" s="121"/>
      <c r="J58" s="49">
        <f t="shared" si="129"/>
        <v>0</v>
      </c>
      <c r="K58" s="49">
        <f t="shared" si="129"/>
        <v>0</v>
      </c>
      <c r="L58" s="49">
        <f t="shared" si="129"/>
        <v>0</v>
      </c>
      <c r="M58" s="49">
        <f t="shared" si="129"/>
        <v>0</v>
      </c>
      <c r="N58" s="49">
        <f t="shared" si="129"/>
        <v>0</v>
      </c>
      <c r="O58" s="49">
        <f t="shared" si="129"/>
        <v>0</v>
      </c>
      <c r="P58" s="49">
        <f t="shared" si="129"/>
        <v>0</v>
      </c>
      <c r="Q58" s="47">
        <f t="shared" si="64"/>
        <v>0</v>
      </c>
      <c r="R58" s="121"/>
      <c r="S58" s="49">
        <f t="shared" si="115"/>
        <v>0</v>
      </c>
      <c r="T58" s="49">
        <f t="shared" si="115"/>
        <v>0</v>
      </c>
      <c r="U58" s="47">
        <f t="shared" si="72"/>
        <v>0</v>
      </c>
      <c r="V58" s="122"/>
      <c r="W58" s="47">
        <f t="shared" si="73"/>
        <v>0</v>
      </c>
      <c r="X58" s="122">
        <f t="shared" si="74"/>
        <v>0</v>
      </c>
      <c r="Y58" s="49"/>
      <c r="Z58" s="49"/>
      <c r="AA58" s="49"/>
      <c r="AB58" s="49"/>
      <c r="AC58" s="49"/>
      <c r="AD58" s="49"/>
      <c r="AE58" s="125"/>
      <c r="AF58" s="122"/>
      <c r="AG58" s="49"/>
      <c r="AH58" s="49"/>
      <c r="AI58" s="49"/>
      <c r="AJ58" s="125"/>
      <c r="AK58" s="122"/>
      <c r="AL58" s="125"/>
      <c r="AM58" s="122"/>
      <c r="AN58" s="47">
        <f t="shared" si="68"/>
        <v>0</v>
      </c>
      <c r="AO58" s="122"/>
      <c r="AP58" s="49">
        <f t="shared" si="69"/>
        <v>0</v>
      </c>
      <c r="AQ58" s="198">
        <f t="shared" si="70"/>
        <v>0</v>
      </c>
      <c r="AR58" s="122"/>
      <c r="AS58" s="49">
        <f t="shared" si="116"/>
        <v>0</v>
      </c>
      <c r="AT58" s="49">
        <f t="shared" si="116"/>
        <v>0</v>
      </c>
      <c r="AU58" s="47">
        <f t="shared" si="75"/>
        <v>0</v>
      </c>
      <c r="AV58" s="122"/>
      <c r="AW58" s="47">
        <f t="shared" si="75"/>
        <v>0</v>
      </c>
      <c r="AX58" s="122"/>
      <c r="AY58" s="47">
        <f t="shared" ref="AY58" si="136">ROUNDDOWN($C58*AZ58,1)</f>
        <v>0</v>
      </c>
      <c r="AZ58" s="122"/>
    </row>
    <row r="59" spans="1:52" s="72" customFormat="1" ht="51" x14ac:dyDescent="0.2">
      <c r="A59" s="70" t="s">
        <v>77</v>
      </c>
      <c r="B59" s="71" t="s">
        <v>78</v>
      </c>
      <c r="C59" s="47">
        <v>267</v>
      </c>
      <c r="D59" s="47"/>
      <c r="E59" s="122">
        <v>0</v>
      </c>
      <c r="F59" s="47">
        <f>ROUND(G59*C59,1)</f>
        <v>3917.2</v>
      </c>
      <c r="G59" s="122">
        <f>RCFs!$C$5</f>
        <v>14.670999999999999</v>
      </c>
      <c r="H59" s="47">
        <f t="shared" si="62"/>
        <v>3917.2</v>
      </c>
      <c r="I59" s="122">
        <f>RCFs!$C$5</f>
        <v>14.670999999999999</v>
      </c>
      <c r="J59" s="49">
        <f t="shared" si="129"/>
        <v>4308.8999999999996</v>
      </c>
      <c r="K59" s="49">
        <f t="shared" si="129"/>
        <v>5366.5</v>
      </c>
      <c r="L59" s="49">
        <f t="shared" si="129"/>
        <v>5758.2</v>
      </c>
      <c r="M59" s="49">
        <f t="shared" si="129"/>
        <v>6345.8</v>
      </c>
      <c r="N59" s="49">
        <f t="shared" si="129"/>
        <v>7834.3</v>
      </c>
      <c r="O59" s="49">
        <f t="shared" si="129"/>
        <v>8421.9</v>
      </c>
      <c r="P59" s="49">
        <f t="shared" si="129"/>
        <v>11751.5</v>
      </c>
      <c r="Q59" s="47">
        <f t="shared" si="64"/>
        <v>3850.1</v>
      </c>
      <c r="R59" s="122">
        <f>RCFs!$C$7</f>
        <v>14.42</v>
      </c>
      <c r="S59" s="49">
        <f t="shared" si="115"/>
        <v>5005.1000000000004</v>
      </c>
      <c r="T59" s="49">
        <f t="shared" si="115"/>
        <v>5775.1</v>
      </c>
      <c r="U59" s="47">
        <f t="shared" si="72"/>
        <v>3796.2</v>
      </c>
      <c r="V59" s="122">
        <f>RCFs!$C$9</f>
        <v>14.218</v>
      </c>
      <c r="W59" s="47">
        <f t="shared" si="73"/>
        <v>3796.2</v>
      </c>
      <c r="X59" s="122">
        <f t="shared" si="74"/>
        <v>14.218</v>
      </c>
      <c r="Y59" s="49">
        <f t="shared" ref="Y59:AD59" si="137">ROUND($C59*$X59*Y$6,1)</f>
        <v>4175.8</v>
      </c>
      <c r="Z59" s="49">
        <f t="shared" si="137"/>
        <v>5200.8</v>
      </c>
      <c r="AA59" s="49">
        <f t="shared" si="137"/>
        <v>6149.9</v>
      </c>
      <c r="AB59" s="49">
        <f t="shared" si="137"/>
        <v>5580.4</v>
      </c>
      <c r="AC59" s="49">
        <f t="shared" si="137"/>
        <v>8237.7999999999993</v>
      </c>
      <c r="AD59" s="49">
        <f t="shared" si="137"/>
        <v>11388.6</v>
      </c>
      <c r="AE59" s="47">
        <f>ROUND(AF59*C59,1)</f>
        <v>3858.2</v>
      </c>
      <c r="AF59" s="122">
        <f>RCFs!C$13</f>
        <v>14.45</v>
      </c>
      <c r="AG59" s="49">
        <f>ROUND($AE59*AG$6,1)</f>
        <v>6366</v>
      </c>
      <c r="AH59" s="49">
        <f>ROUND($AE59*AH$6,1)</f>
        <v>8102.2</v>
      </c>
      <c r="AI59" s="49">
        <f>ROUND($AE59*AI$6,1)</f>
        <v>11574.6</v>
      </c>
      <c r="AJ59" s="196">
        <v>4311.2</v>
      </c>
      <c r="AK59" s="122">
        <f>AJ59/C59</f>
        <v>16.146816479400748</v>
      </c>
      <c r="AL59" s="197">
        <v>9135.7000000000007</v>
      </c>
      <c r="AM59" s="122">
        <f>AL59/C59</f>
        <v>34.21610486891386</v>
      </c>
      <c r="AN59" s="47">
        <f t="shared" si="68"/>
        <v>4063.7</v>
      </c>
      <c r="AO59" s="122">
        <f>RCFs!C$33</f>
        <v>15.22</v>
      </c>
      <c r="AP59" s="49">
        <f t="shared" si="69"/>
        <v>6095.5</v>
      </c>
      <c r="AQ59" s="198">
        <v>7767.07</v>
      </c>
      <c r="AR59" s="122">
        <f>AQ59/C59</f>
        <v>29.090149812734083</v>
      </c>
      <c r="AS59" s="199">
        <v>10097.200000000001</v>
      </c>
      <c r="AT59" s="199">
        <f>AS59</f>
        <v>10097.200000000001</v>
      </c>
      <c r="AU59" s="47">
        <f t="shared" si="133"/>
        <v>3987.9</v>
      </c>
      <c r="AV59" s="122">
        <f>RCFs!C$37</f>
        <v>14.936</v>
      </c>
      <c r="AW59" s="47">
        <f t="shared" si="134"/>
        <v>4079.3</v>
      </c>
      <c r="AX59" s="122">
        <f>RCFs!C$39</f>
        <v>15.278571428571428</v>
      </c>
      <c r="AY59" s="47">
        <f t="shared" si="135"/>
        <v>3932.9</v>
      </c>
      <c r="AZ59" s="122">
        <f>RCFs!$C$41</f>
        <v>14.73</v>
      </c>
    </row>
    <row r="60" spans="1:52" s="72" customFormat="1" ht="51" x14ac:dyDescent="0.2">
      <c r="A60" s="113" t="s">
        <v>77</v>
      </c>
      <c r="B60" s="114" t="s">
        <v>111</v>
      </c>
      <c r="C60" s="115">
        <v>447</v>
      </c>
      <c r="D60" s="126">
        <f t="shared" si="60"/>
        <v>20578.7</v>
      </c>
      <c r="E60" s="121">
        <f>RCFs!L43</f>
        <v>46.037263287508111</v>
      </c>
      <c r="F60" s="47">
        <f>ROUND(G60*A60,1)</f>
        <v>0</v>
      </c>
      <c r="G60" s="121"/>
      <c r="H60" s="47">
        <f t="shared" si="62"/>
        <v>0</v>
      </c>
      <c r="I60" s="121"/>
      <c r="J60" s="49">
        <f t="shared" si="129"/>
        <v>0</v>
      </c>
      <c r="K60" s="49">
        <f t="shared" si="129"/>
        <v>0</v>
      </c>
      <c r="L60" s="49">
        <f t="shared" si="129"/>
        <v>0</v>
      </c>
      <c r="M60" s="49">
        <f t="shared" si="129"/>
        <v>0</v>
      </c>
      <c r="N60" s="49">
        <f t="shared" si="129"/>
        <v>0</v>
      </c>
      <c r="O60" s="49">
        <f t="shared" si="129"/>
        <v>0</v>
      </c>
      <c r="P60" s="49">
        <f t="shared" si="129"/>
        <v>0</v>
      </c>
      <c r="Q60" s="47">
        <f t="shared" si="64"/>
        <v>0</v>
      </c>
      <c r="R60" s="121"/>
      <c r="S60" s="49">
        <f t="shared" si="115"/>
        <v>0</v>
      </c>
      <c r="T60" s="49">
        <f t="shared" si="115"/>
        <v>0</v>
      </c>
      <c r="U60" s="47">
        <f t="shared" si="72"/>
        <v>0</v>
      </c>
      <c r="V60" s="122"/>
      <c r="W60" s="47">
        <f t="shared" si="73"/>
        <v>0</v>
      </c>
      <c r="X60" s="122">
        <f t="shared" si="74"/>
        <v>0</v>
      </c>
      <c r="Y60" s="49"/>
      <c r="Z60" s="49"/>
      <c r="AA60" s="49"/>
      <c r="AB60" s="49"/>
      <c r="AC60" s="49"/>
      <c r="AD60" s="49"/>
      <c r="AE60" s="125"/>
      <c r="AF60" s="122"/>
      <c r="AG60" s="49"/>
      <c r="AH60" s="49"/>
      <c r="AI60" s="49"/>
      <c r="AJ60" s="125"/>
      <c r="AK60" s="122"/>
      <c r="AL60" s="125"/>
      <c r="AM60" s="122"/>
      <c r="AN60" s="47">
        <f t="shared" si="68"/>
        <v>0</v>
      </c>
      <c r="AO60" s="122"/>
      <c r="AP60" s="49">
        <f t="shared" si="69"/>
        <v>0</v>
      </c>
      <c r="AQ60" s="46">
        <f t="shared" si="70"/>
        <v>0</v>
      </c>
      <c r="AR60" s="122"/>
      <c r="AS60" s="49">
        <f t="shared" si="116"/>
        <v>0</v>
      </c>
      <c r="AT60" s="49">
        <f t="shared" si="116"/>
        <v>0</v>
      </c>
      <c r="AU60" s="47">
        <f t="shared" si="75"/>
        <v>0</v>
      </c>
      <c r="AV60" s="122"/>
      <c r="AW60" s="47">
        <f t="shared" si="75"/>
        <v>0</v>
      </c>
      <c r="AX60" s="122"/>
      <c r="AY60" s="47">
        <f t="shared" ref="AY60" si="138">ROUNDDOWN($C60*AZ60,1)</f>
        <v>0</v>
      </c>
      <c r="AZ60" s="122"/>
    </row>
    <row r="61" spans="1:52" s="72" customFormat="1" ht="25.5" x14ac:dyDescent="0.2">
      <c r="A61" s="76" t="s">
        <v>89</v>
      </c>
      <c r="B61" s="71" t="s">
        <v>79</v>
      </c>
      <c r="C61" s="47">
        <v>77</v>
      </c>
      <c r="D61" s="77">
        <f t="shared" si="60"/>
        <v>1606.8</v>
      </c>
      <c r="E61" s="119">
        <f>AZ61</f>
        <v>20.867000000000001</v>
      </c>
      <c r="F61" s="47">
        <f t="shared" ref="F61:F67" si="139">ROUND(G61*C61,1)</f>
        <v>1600.4</v>
      </c>
      <c r="G61" s="120">
        <f>RCFs!$D$5</f>
        <v>20.783999999999999</v>
      </c>
      <c r="H61" s="47">
        <f t="shared" si="62"/>
        <v>1600.4</v>
      </c>
      <c r="I61" s="120">
        <f>RCFs!D5</f>
        <v>20.783999999999999</v>
      </c>
      <c r="J61" s="49">
        <f t="shared" si="129"/>
        <v>1760.4</v>
      </c>
      <c r="K61" s="49">
        <f t="shared" si="129"/>
        <v>2192.5</v>
      </c>
      <c r="L61" s="49">
        <f t="shared" si="129"/>
        <v>2352.5</v>
      </c>
      <c r="M61" s="49">
        <f t="shared" si="129"/>
        <v>2592.6</v>
      </c>
      <c r="N61" s="49">
        <f t="shared" si="129"/>
        <v>3200.7</v>
      </c>
      <c r="O61" s="49">
        <f t="shared" si="129"/>
        <v>3440.8</v>
      </c>
      <c r="P61" s="49">
        <f t="shared" si="129"/>
        <v>4801.1000000000004</v>
      </c>
      <c r="Q61" s="47">
        <f t="shared" si="64"/>
        <v>1579.2</v>
      </c>
      <c r="R61" s="120">
        <f>RCFs!D7</f>
        <v>20.51</v>
      </c>
      <c r="S61" s="49">
        <f t="shared" si="115"/>
        <v>2052.9</v>
      </c>
      <c r="T61" s="49">
        <f t="shared" si="115"/>
        <v>2368.8000000000002</v>
      </c>
      <c r="U61" s="47">
        <f t="shared" si="72"/>
        <v>1549.2</v>
      </c>
      <c r="V61" s="122">
        <f>RCFs!D9</f>
        <v>20.12</v>
      </c>
      <c r="W61" s="47">
        <f t="shared" si="73"/>
        <v>1549.2</v>
      </c>
      <c r="X61" s="122">
        <f t="shared" si="74"/>
        <v>20.12</v>
      </c>
      <c r="Y61" s="49">
        <f t="shared" ref="Y61:AD67" si="140">ROUND($C61*$X61*Y$6,1)</f>
        <v>1704.2</v>
      </c>
      <c r="Z61" s="49">
        <f t="shared" si="140"/>
        <v>2122.5</v>
      </c>
      <c r="AA61" s="49">
        <f t="shared" si="140"/>
        <v>2509.8000000000002</v>
      </c>
      <c r="AB61" s="49">
        <f t="shared" si="140"/>
        <v>2277.4</v>
      </c>
      <c r="AC61" s="49">
        <f t="shared" si="140"/>
        <v>3361.9</v>
      </c>
      <c r="AD61" s="49">
        <f t="shared" si="140"/>
        <v>4647.7</v>
      </c>
      <c r="AE61" s="47">
        <f t="shared" ref="AE61:AE67" si="141">ROUND(AF61*C61,1)</f>
        <v>1577</v>
      </c>
      <c r="AF61" s="122">
        <f>RCFs!D13</f>
        <v>20.48</v>
      </c>
      <c r="AG61" s="49">
        <f t="shared" ref="AG61:AI67" si="142">ROUND($AE61*AG$6,1)</f>
        <v>2602.1</v>
      </c>
      <c r="AH61" s="49">
        <f t="shared" si="142"/>
        <v>3311.7</v>
      </c>
      <c r="AI61" s="49">
        <f t="shared" si="142"/>
        <v>4731</v>
      </c>
      <c r="AJ61" s="47">
        <f t="shared" ref="AJ61:AJ67" si="143">ROUND(AK61*C61,1)</f>
        <v>1547</v>
      </c>
      <c r="AK61" s="122">
        <f>RCFs!D24</f>
        <v>20.09090909090909</v>
      </c>
      <c r="AL61" s="47">
        <f t="shared" ref="AL61:AL67" si="144">ROUND(AM61*C61,1)</f>
        <v>2085</v>
      </c>
      <c r="AM61" s="122">
        <f>RCFs!D28</f>
        <v>27.077922077922079</v>
      </c>
      <c r="AN61" s="47">
        <f t="shared" si="68"/>
        <v>1660.1</v>
      </c>
      <c r="AO61" s="122">
        <f>RCFs!D33</f>
        <v>21.56</v>
      </c>
      <c r="AP61" s="49">
        <f t="shared" si="69"/>
        <v>2490.1</v>
      </c>
      <c r="AQ61" s="46">
        <f t="shared" si="70"/>
        <v>1668.5</v>
      </c>
      <c r="AR61" s="122">
        <f>RCFs!D35</f>
        <v>21.67</v>
      </c>
      <c r="AS61" s="49">
        <f t="shared" si="116"/>
        <v>2169</v>
      </c>
      <c r="AT61" s="49">
        <f t="shared" si="116"/>
        <v>2419.3000000000002</v>
      </c>
      <c r="AU61" s="47">
        <f t="shared" si="75"/>
        <v>1627.9</v>
      </c>
      <c r="AV61" s="122">
        <f>RCFs!D37</f>
        <v>21.141999999999999</v>
      </c>
      <c r="AW61" s="47">
        <f t="shared" si="75"/>
        <v>1666.7</v>
      </c>
      <c r="AX61" s="122">
        <f>RCFs!D39</f>
        <v>21.645454545454545</v>
      </c>
      <c r="AY61" s="47">
        <f t="shared" ref="AY61" si="145">ROUNDDOWN($C61*AZ61,1)</f>
        <v>1606.7</v>
      </c>
      <c r="AZ61" s="122">
        <f>RCFs!D41</f>
        <v>20.867000000000001</v>
      </c>
    </row>
    <row r="62" spans="1:52" s="72" customFormat="1" ht="38.25" x14ac:dyDescent="0.2">
      <c r="A62" s="78" t="s">
        <v>90</v>
      </c>
      <c r="B62" s="71" t="s">
        <v>80</v>
      </c>
      <c r="C62" s="47">
        <v>50</v>
      </c>
      <c r="D62" s="77">
        <f t="shared" si="60"/>
        <v>702.1</v>
      </c>
      <c r="E62" s="119">
        <f t="shared" ref="E62:E67" si="146">AZ62</f>
        <v>14.041</v>
      </c>
      <c r="F62" s="47">
        <f t="shared" si="139"/>
        <v>699.2</v>
      </c>
      <c r="G62" s="120">
        <f>RCFs!$F$5</f>
        <v>13.984</v>
      </c>
      <c r="H62" s="47">
        <f t="shared" si="62"/>
        <v>699.2</v>
      </c>
      <c r="I62" s="120">
        <f>RCFs!$F$5</f>
        <v>13.984</v>
      </c>
      <c r="J62" s="49">
        <f t="shared" si="129"/>
        <v>769.1</v>
      </c>
      <c r="K62" s="49">
        <f t="shared" si="129"/>
        <v>957.9</v>
      </c>
      <c r="L62" s="49">
        <f t="shared" si="129"/>
        <v>1027.8</v>
      </c>
      <c r="M62" s="49">
        <f t="shared" si="129"/>
        <v>1132.7</v>
      </c>
      <c r="N62" s="49">
        <f t="shared" si="129"/>
        <v>1398.4</v>
      </c>
      <c r="O62" s="49">
        <f t="shared" si="129"/>
        <v>1503.3</v>
      </c>
      <c r="P62" s="49">
        <f t="shared" si="129"/>
        <v>2097.6</v>
      </c>
      <c r="Q62" s="47">
        <f t="shared" si="64"/>
        <v>690</v>
      </c>
      <c r="R62" s="120">
        <f>RCFs!F$7</f>
        <v>13.8</v>
      </c>
      <c r="S62" s="49">
        <f t="shared" si="115"/>
        <v>897</v>
      </c>
      <c r="T62" s="49">
        <f t="shared" si="115"/>
        <v>1035</v>
      </c>
      <c r="U62" s="47">
        <f t="shared" si="72"/>
        <v>677.7</v>
      </c>
      <c r="V62" s="122">
        <f>RCFs!F$9</f>
        <v>13.554</v>
      </c>
      <c r="W62" s="47">
        <f t="shared" si="73"/>
        <v>677.7</v>
      </c>
      <c r="X62" s="122">
        <f t="shared" si="74"/>
        <v>13.554</v>
      </c>
      <c r="Y62" s="49">
        <f t="shared" si="140"/>
        <v>745.5</v>
      </c>
      <c r="Z62" s="49">
        <f t="shared" si="140"/>
        <v>928.4</v>
      </c>
      <c r="AA62" s="49">
        <f t="shared" si="140"/>
        <v>1097.9000000000001</v>
      </c>
      <c r="AB62" s="49">
        <f t="shared" si="140"/>
        <v>996.2</v>
      </c>
      <c r="AC62" s="49">
        <f t="shared" si="140"/>
        <v>1470.6</v>
      </c>
      <c r="AD62" s="49">
        <f t="shared" si="140"/>
        <v>2033.1</v>
      </c>
      <c r="AE62" s="47">
        <f t="shared" si="141"/>
        <v>690</v>
      </c>
      <c r="AF62" s="122">
        <f>RCFs!F$13</f>
        <v>13.8</v>
      </c>
      <c r="AG62" s="49">
        <f t="shared" si="142"/>
        <v>1138.5</v>
      </c>
      <c r="AH62" s="49">
        <f t="shared" si="142"/>
        <v>1449</v>
      </c>
      <c r="AI62" s="49">
        <f t="shared" si="142"/>
        <v>2070</v>
      </c>
      <c r="AJ62" s="47">
        <f t="shared" si="143"/>
        <v>675.9</v>
      </c>
      <c r="AK62" s="122">
        <f>RCFs!F$24</f>
        <v>13.517999999999999</v>
      </c>
      <c r="AL62" s="47">
        <f t="shared" si="144"/>
        <v>911</v>
      </c>
      <c r="AM62" s="122">
        <f>RCFs!F$28</f>
        <v>18.22</v>
      </c>
      <c r="AN62" s="47">
        <f t="shared" si="68"/>
        <v>725.4</v>
      </c>
      <c r="AO62" s="122">
        <f>RCFs!F$33</f>
        <v>14.507999999999999</v>
      </c>
      <c r="AP62" s="49">
        <f t="shared" si="69"/>
        <v>1088.0999999999999</v>
      </c>
      <c r="AQ62" s="46">
        <f t="shared" si="70"/>
        <v>730</v>
      </c>
      <c r="AR62" s="122">
        <f>RCFs!F$35</f>
        <v>14.6</v>
      </c>
      <c r="AS62" s="49">
        <f t="shared" si="116"/>
        <v>949</v>
      </c>
      <c r="AT62" s="49">
        <f t="shared" si="116"/>
        <v>1058.5</v>
      </c>
      <c r="AU62" s="47">
        <f t="shared" si="75"/>
        <v>711.4</v>
      </c>
      <c r="AV62" s="122">
        <f>RCFs!F$37</f>
        <v>14.228</v>
      </c>
      <c r="AW62" s="47">
        <f t="shared" si="75"/>
        <v>728.3</v>
      </c>
      <c r="AX62" s="122">
        <f>RCFs!F$39</f>
        <v>14.565999999999999</v>
      </c>
      <c r="AY62" s="47">
        <f t="shared" ref="AY62" si="147">ROUNDDOWN($C62*AZ62,1)</f>
        <v>702</v>
      </c>
      <c r="AZ62" s="122">
        <f>RCFs!F$41</f>
        <v>14.041</v>
      </c>
    </row>
    <row r="63" spans="1:52" s="72" customFormat="1" ht="25.5" x14ac:dyDescent="0.2">
      <c r="A63" s="78" t="s">
        <v>91</v>
      </c>
      <c r="B63" s="71" t="s">
        <v>81</v>
      </c>
      <c r="C63" s="47">
        <v>50</v>
      </c>
      <c r="D63" s="77">
        <f t="shared" si="60"/>
        <v>702.1</v>
      </c>
      <c r="E63" s="119">
        <f t="shared" si="146"/>
        <v>14.041</v>
      </c>
      <c r="F63" s="47">
        <f t="shared" si="139"/>
        <v>699.2</v>
      </c>
      <c r="G63" s="120">
        <f>RCFs!$F$5</f>
        <v>13.984</v>
      </c>
      <c r="H63" s="47">
        <f t="shared" si="62"/>
        <v>699.2</v>
      </c>
      <c r="I63" s="120">
        <f>RCFs!$F$5</f>
        <v>13.984</v>
      </c>
      <c r="J63" s="49">
        <f t="shared" si="129"/>
        <v>769.1</v>
      </c>
      <c r="K63" s="49">
        <f t="shared" si="129"/>
        <v>957.9</v>
      </c>
      <c r="L63" s="49">
        <f t="shared" si="129"/>
        <v>1027.8</v>
      </c>
      <c r="M63" s="49">
        <f t="shared" si="129"/>
        <v>1132.7</v>
      </c>
      <c r="N63" s="49">
        <f t="shared" si="129"/>
        <v>1398.4</v>
      </c>
      <c r="O63" s="49">
        <f t="shared" si="129"/>
        <v>1503.3</v>
      </c>
      <c r="P63" s="49">
        <f t="shared" si="129"/>
        <v>2097.6</v>
      </c>
      <c r="Q63" s="47">
        <f t="shared" si="64"/>
        <v>690</v>
      </c>
      <c r="R63" s="120">
        <f>RCFs!F$7</f>
        <v>13.8</v>
      </c>
      <c r="S63" s="49">
        <f t="shared" si="115"/>
        <v>897</v>
      </c>
      <c r="T63" s="49">
        <f t="shared" si="115"/>
        <v>1035</v>
      </c>
      <c r="U63" s="47">
        <f t="shared" si="72"/>
        <v>677.7</v>
      </c>
      <c r="V63" s="122">
        <f>RCFs!F$9</f>
        <v>13.554</v>
      </c>
      <c r="W63" s="47">
        <f t="shared" si="73"/>
        <v>677.7</v>
      </c>
      <c r="X63" s="122">
        <f t="shared" si="74"/>
        <v>13.554</v>
      </c>
      <c r="Y63" s="49">
        <f t="shared" si="140"/>
        <v>745.5</v>
      </c>
      <c r="Z63" s="49">
        <f t="shared" si="140"/>
        <v>928.4</v>
      </c>
      <c r="AA63" s="49">
        <f t="shared" si="140"/>
        <v>1097.9000000000001</v>
      </c>
      <c r="AB63" s="49">
        <f t="shared" si="140"/>
        <v>996.2</v>
      </c>
      <c r="AC63" s="49">
        <f t="shared" si="140"/>
        <v>1470.6</v>
      </c>
      <c r="AD63" s="49">
        <f t="shared" si="140"/>
        <v>2033.1</v>
      </c>
      <c r="AE63" s="47">
        <f t="shared" si="141"/>
        <v>690</v>
      </c>
      <c r="AF63" s="122">
        <f>RCFs!F$13</f>
        <v>13.8</v>
      </c>
      <c r="AG63" s="49">
        <f t="shared" si="142"/>
        <v>1138.5</v>
      </c>
      <c r="AH63" s="49">
        <f t="shared" si="142"/>
        <v>1449</v>
      </c>
      <c r="AI63" s="49">
        <f t="shared" si="142"/>
        <v>2070</v>
      </c>
      <c r="AJ63" s="47">
        <f t="shared" si="143"/>
        <v>675.9</v>
      </c>
      <c r="AK63" s="122">
        <f>RCFs!F$24</f>
        <v>13.517999999999999</v>
      </c>
      <c r="AL63" s="47">
        <f t="shared" si="144"/>
        <v>911</v>
      </c>
      <c r="AM63" s="122">
        <f>RCFs!F$28</f>
        <v>18.22</v>
      </c>
      <c r="AN63" s="47">
        <f t="shared" si="68"/>
        <v>725.4</v>
      </c>
      <c r="AO63" s="122">
        <f>RCFs!F$33</f>
        <v>14.507999999999999</v>
      </c>
      <c r="AP63" s="49">
        <f t="shared" si="69"/>
        <v>1088.0999999999999</v>
      </c>
      <c r="AQ63" s="46">
        <f t="shared" si="70"/>
        <v>730</v>
      </c>
      <c r="AR63" s="122">
        <f>RCFs!F$35</f>
        <v>14.6</v>
      </c>
      <c r="AS63" s="49">
        <f t="shared" si="116"/>
        <v>949</v>
      </c>
      <c r="AT63" s="49">
        <f t="shared" si="116"/>
        <v>1058.5</v>
      </c>
      <c r="AU63" s="47">
        <f t="shared" si="75"/>
        <v>711.4</v>
      </c>
      <c r="AV63" s="122">
        <f>RCFs!F$37</f>
        <v>14.228</v>
      </c>
      <c r="AW63" s="47">
        <f t="shared" ref="AW63" si="148">ROUNDDOWN($C63*AX63,1)</f>
        <v>728.3</v>
      </c>
      <c r="AX63" s="122">
        <f>RCFs!F$39</f>
        <v>14.565999999999999</v>
      </c>
      <c r="AY63" s="47">
        <f t="shared" ref="AY63" si="149">ROUNDDOWN($C63*AZ63,1)</f>
        <v>702</v>
      </c>
      <c r="AZ63" s="122">
        <f>RCFs!F$41</f>
        <v>14.041</v>
      </c>
    </row>
    <row r="64" spans="1:52" s="72" customFormat="1" ht="25.5" x14ac:dyDescent="0.2">
      <c r="A64" s="78" t="s">
        <v>92</v>
      </c>
      <c r="B64" s="71" t="s">
        <v>82</v>
      </c>
      <c r="C64" s="47">
        <v>40</v>
      </c>
      <c r="D64" s="77">
        <f t="shared" si="60"/>
        <v>561.6</v>
      </c>
      <c r="E64" s="119">
        <f t="shared" si="146"/>
        <v>14.041</v>
      </c>
      <c r="F64" s="47">
        <f t="shared" si="139"/>
        <v>559.4</v>
      </c>
      <c r="G64" s="120">
        <f>RCFs!$F$5</f>
        <v>13.984</v>
      </c>
      <c r="H64" s="47">
        <f t="shared" si="62"/>
        <v>559.4</v>
      </c>
      <c r="I64" s="120">
        <f>RCFs!$F$5</f>
        <v>13.984</v>
      </c>
      <c r="J64" s="49">
        <f t="shared" si="129"/>
        <v>615.29999999999995</v>
      </c>
      <c r="K64" s="49">
        <f t="shared" si="129"/>
        <v>766.3</v>
      </c>
      <c r="L64" s="49">
        <f t="shared" si="129"/>
        <v>822.3</v>
      </c>
      <c r="M64" s="49">
        <f t="shared" si="129"/>
        <v>906.2</v>
      </c>
      <c r="N64" s="49">
        <f t="shared" si="129"/>
        <v>1118.7</v>
      </c>
      <c r="O64" s="49">
        <f t="shared" si="129"/>
        <v>1202.5999999999999</v>
      </c>
      <c r="P64" s="49">
        <f t="shared" si="129"/>
        <v>1678.1</v>
      </c>
      <c r="Q64" s="47">
        <f t="shared" si="64"/>
        <v>552</v>
      </c>
      <c r="R64" s="120">
        <f>RCFs!F$7</f>
        <v>13.8</v>
      </c>
      <c r="S64" s="49">
        <f t="shared" si="115"/>
        <v>717.6</v>
      </c>
      <c r="T64" s="49">
        <f t="shared" si="115"/>
        <v>828</v>
      </c>
      <c r="U64" s="47">
        <f t="shared" si="72"/>
        <v>542.1</v>
      </c>
      <c r="V64" s="122">
        <f>RCFs!F$9</f>
        <v>13.554</v>
      </c>
      <c r="W64" s="47">
        <f t="shared" si="73"/>
        <v>542.1</v>
      </c>
      <c r="X64" s="122">
        <f t="shared" si="74"/>
        <v>13.554</v>
      </c>
      <c r="Y64" s="49">
        <f t="shared" si="140"/>
        <v>596.4</v>
      </c>
      <c r="Z64" s="49">
        <f t="shared" si="140"/>
        <v>742.8</v>
      </c>
      <c r="AA64" s="49">
        <f t="shared" si="140"/>
        <v>878.3</v>
      </c>
      <c r="AB64" s="49">
        <f t="shared" si="140"/>
        <v>797</v>
      </c>
      <c r="AC64" s="49">
        <f t="shared" si="140"/>
        <v>1176.5</v>
      </c>
      <c r="AD64" s="49">
        <f t="shared" si="140"/>
        <v>1626.5</v>
      </c>
      <c r="AE64" s="47">
        <f t="shared" si="141"/>
        <v>552</v>
      </c>
      <c r="AF64" s="122">
        <f>RCFs!F$13</f>
        <v>13.8</v>
      </c>
      <c r="AG64" s="49">
        <f t="shared" si="142"/>
        <v>910.8</v>
      </c>
      <c r="AH64" s="49">
        <f t="shared" si="142"/>
        <v>1159.2</v>
      </c>
      <c r="AI64" s="49">
        <f t="shared" si="142"/>
        <v>1656</v>
      </c>
      <c r="AJ64" s="47">
        <f t="shared" si="143"/>
        <v>540.70000000000005</v>
      </c>
      <c r="AK64" s="122">
        <f>RCFs!F$24</f>
        <v>13.517999999999999</v>
      </c>
      <c r="AL64" s="47">
        <f t="shared" si="144"/>
        <v>728.8</v>
      </c>
      <c r="AM64" s="122">
        <f>RCFs!F$28</f>
        <v>18.22</v>
      </c>
      <c r="AN64" s="47">
        <f t="shared" si="68"/>
        <v>580.29999999999995</v>
      </c>
      <c r="AO64" s="122">
        <f>RCFs!F$33</f>
        <v>14.507999999999999</v>
      </c>
      <c r="AP64" s="49">
        <f t="shared" si="69"/>
        <v>870.4</v>
      </c>
      <c r="AQ64" s="46">
        <f t="shared" si="70"/>
        <v>584</v>
      </c>
      <c r="AR64" s="122">
        <f>RCFs!F$35</f>
        <v>14.6</v>
      </c>
      <c r="AS64" s="49">
        <f t="shared" si="116"/>
        <v>759.2</v>
      </c>
      <c r="AT64" s="49">
        <f t="shared" si="116"/>
        <v>846.8</v>
      </c>
      <c r="AU64" s="47">
        <f t="shared" si="75"/>
        <v>569.1</v>
      </c>
      <c r="AV64" s="122">
        <f>RCFs!F$37</f>
        <v>14.228</v>
      </c>
      <c r="AW64" s="47">
        <f t="shared" ref="AW64" si="150">ROUNDDOWN($C64*AX64,1)</f>
        <v>582.6</v>
      </c>
      <c r="AX64" s="122">
        <f>RCFs!F$39</f>
        <v>14.565999999999999</v>
      </c>
      <c r="AY64" s="47">
        <f t="shared" ref="AY64" si="151">ROUNDDOWN($C64*AZ64,1)</f>
        <v>561.6</v>
      </c>
      <c r="AZ64" s="122">
        <f>RCFs!F$41</f>
        <v>14.041</v>
      </c>
    </row>
    <row r="65" spans="1:52" s="72" customFormat="1" ht="25.5" x14ac:dyDescent="0.2">
      <c r="A65" s="78" t="s">
        <v>93</v>
      </c>
      <c r="B65" s="71" t="s">
        <v>83</v>
      </c>
      <c r="C65" s="47">
        <v>78</v>
      </c>
      <c r="D65" s="77">
        <f t="shared" si="60"/>
        <v>1095.2</v>
      </c>
      <c r="E65" s="119">
        <f t="shared" si="146"/>
        <v>14.041</v>
      </c>
      <c r="F65" s="47">
        <f t="shared" si="139"/>
        <v>1090.8</v>
      </c>
      <c r="G65" s="120">
        <f>RCFs!$F$5</f>
        <v>13.984</v>
      </c>
      <c r="H65" s="47">
        <f t="shared" si="62"/>
        <v>1090.8</v>
      </c>
      <c r="I65" s="120">
        <f>RCFs!$F$5</f>
        <v>13.984</v>
      </c>
      <c r="J65" s="49">
        <f t="shared" si="129"/>
        <v>1199.8</v>
      </c>
      <c r="K65" s="49">
        <f t="shared" si="129"/>
        <v>1494.3</v>
      </c>
      <c r="L65" s="49">
        <f t="shared" si="129"/>
        <v>1603.4</v>
      </c>
      <c r="M65" s="49">
        <f t="shared" si="129"/>
        <v>1767</v>
      </c>
      <c r="N65" s="49">
        <f t="shared" si="129"/>
        <v>2181.5</v>
      </c>
      <c r="O65" s="49">
        <f t="shared" si="129"/>
        <v>2345.1</v>
      </c>
      <c r="P65" s="49">
        <f t="shared" si="129"/>
        <v>3272.3</v>
      </c>
      <c r="Q65" s="47">
        <f t="shared" si="64"/>
        <v>1076.4000000000001</v>
      </c>
      <c r="R65" s="120">
        <f>RCFs!F$7</f>
        <v>13.8</v>
      </c>
      <c r="S65" s="49">
        <f t="shared" si="115"/>
        <v>1399.3</v>
      </c>
      <c r="T65" s="49">
        <f t="shared" si="115"/>
        <v>1614.6</v>
      </c>
      <c r="U65" s="47">
        <f t="shared" si="72"/>
        <v>1057.2</v>
      </c>
      <c r="V65" s="122">
        <f>RCFs!F$9</f>
        <v>13.554</v>
      </c>
      <c r="W65" s="47">
        <f t="shared" si="73"/>
        <v>1057.2</v>
      </c>
      <c r="X65" s="122">
        <f t="shared" si="74"/>
        <v>13.554</v>
      </c>
      <c r="Y65" s="49">
        <f t="shared" si="140"/>
        <v>1162.9000000000001</v>
      </c>
      <c r="Z65" s="49">
        <f t="shared" si="140"/>
        <v>1448.4</v>
      </c>
      <c r="AA65" s="49">
        <f t="shared" si="140"/>
        <v>1712.7</v>
      </c>
      <c r="AB65" s="49">
        <f t="shared" si="140"/>
        <v>1554.1</v>
      </c>
      <c r="AC65" s="49">
        <f t="shared" si="140"/>
        <v>2294.1999999999998</v>
      </c>
      <c r="AD65" s="49">
        <f t="shared" si="140"/>
        <v>3171.6</v>
      </c>
      <c r="AE65" s="47">
        <f t="shared" si="141"/>
        <v>1076.4000000000001</v>
      </c>
      <c r="AF65" s="122">
        <f>RCFs!F$13</f>
        <v>13.8</v>
      </c>
      <c r="AG65" s="49">
        <f t="shared" si="142"/>
        <v>1776.1</v>
      </c>
      <c r="AH65" s="49">
        <f t="shared" si="142"/>
        <v>2260.4</v>
      </c>
      <c r="AI65" s="49">
        <f t="shared" si="142"/>
        <v>3229.2</v>
      </c>
      <c r="AJ65" s="47">
        <f t="shared" si="143"/>
        <v>1054.4000000000001</v>
      </c>
      <c r="AK65" s="122">
        <f>RCFs!F$24</f>
        <v>13.517999999999999</v>
      </c>
      <c r="AL65" s="47">
        <f t="shared" si="144"/>
        <v>1421.2</v>
      </c>
      <c r="AM65" s="122">
        <f>RCFs!F$28</f>
        <v>18.22</v>
      </c>
      <c r="AN65" s="47">
        <f t="shared" si="68"/>
        <v>1131.5999999999999</v>
      </c>
      <c r="AO65" s="122">
        <f>RCFs!F$33</f>
        <v>14.507999999999999</v>
      </c>
      <c r="AP65" s="49">
        <f t="shared" si="69"/>
        <v>1697.4</v>
      </c>
      <c r="AQ65" s="46">
        <f t="shared" si="70"/>
        <v>1138.8</v>
      </c>
      <c r="AR65" s="122">
        <f>RCFs!F$35</f>
        <v>14.6</v>
      </c>
      <c r="AS65" s="49">
        <f t="shared" si="116"/>
        <v>1480.4</v>
      </c>
      <c r="AT65" s="49">
        <f t="shared" si="116"/>
        <v>1651.2</v>
      </c>
      <c r="AU65" s="47">
        <f t="shared" si="75"/>
        <v>1109.7</v>
      </c>
      <c r="AV65" s="122">
        <f>RCFs!F$37</f>
        <v>14.228</v>
      </c>
      <c r="AW65" s="47">
        <f t="shared" ref="AW65" si="152">ROUNDDOWN($C65*AX65,1)</f>
        <v>1136.0999999999999</v>
      </c>
      <c r="AX65" s="122">
        <f>RCFs!F$39</f>
        <v>14.565999999999999</v>
      </c>
      <c r="AY65" s="47">
        <f t="shared" ref="AY65" si="153">ROUNDDOWN($C65*AZ65,1)</f>
        <v>1095.0999999999999</v>
      </c>
      <c r="AZ65" s="122">
        <f>RCFs!F$41</f>
        <v>14.041</v>
      </c>
    </row>
    <row r="66" spans="1:52" s="72" customFormat="1" x14ac:dyDescent="0.2">
      <c r="A66" s="78" t="s">
        <v>94</v>
      </c>
      <c r="B66" s="71" t="s">
        <v>84</v>
      </c>
      <c r="C66" s="47">
        <v>1</v>
      </c>
      <c r="D66" s="77">
        <f t="shared" si="60"/>
        <v>20.9</v>
      </c>
      <c r="E66" s="119">
        <f t="shared" si="146"/>
        <v>20.867000000000001</v>
      </c>
      <c r="F66" s="47">
        <f t="shared" si="139"/>
        <v>14.7</v>
      </c>
      <c r="G66" s="120">
        <f>RCFs!C5</f>
        <v>14.670999999999999</v>
      </c>
      <c r="H66" s="47">
        <f t="shared" si="62"/>
        <v>17</v>
      </c>
      <c r="I66" s="120">
        <f>RCFs!E5</f>
        <v>16.96</v>
      </c>
      <c r="J66" s="49">
        <f t="shared" si="129"/>
        <v>18.7</v>
      </c>
      <c r="K66" s="49">
        <f t="shared" si="129"/>
        <v>23.2</v>
      </c>
      <c r="L66" s="49">
        <f t="shared" si="129"/>
        <v>24.9</v>
      </c>
      <c r="M66" s="49">
        <f t="shared" si="129"/>
        <v>27.5</v>
      </c>
      <c r="N66" s="49">
        <f t="shared" si="129"/>
        <v>33.9</v>
      </c>
      <c r="O66" s="49">
        <f t="shared" si="129"/>
        <v>36.5</v>
      </c>
      <c r="P66" s="49">
        <f t="shared" si="129"/>
        <v>50.9</v>
      </c>
      <c r="Q66" s="47">
        <f t="shared" si="64"/>
        <v>16.600000000000001</v>
      </c>
      <c r="R66" s="120">
        <f>RCFs!E7</f>
        <v>16.61</v>
      </c>
      <c r="S66" s="49">
        <f t="shared" si="115"/>
        <v>21.5</v>
      </c>
      <c r="T66" s="49">
        <f t="shared" si="115"/>
        <v>24.9</v>
      </c>
      <c r="U66" s="47">
        <f t="shared" si="72"/>
        <v>15.9</v>
      </c>
      <c r="V66" s="122">
        <f>RCFs!E9</f>
        <v>15.930999999999999</v>
      </c>
      <c r="W66" s="47">
        <f t="shared" si="73"/>
        <v>15.9</v>
      </c>
      <c r="X66" s="122">
        <f t="shared" si="74"/>
        <v>15.930999999999999</v>
      </c>
      <c r="Y66" s="49">
        <f t="shared" si="140"/>
        <v>17.5</v>
      </c>
      <c r="Z66" s="49">
        <f t="shared" si="140"/>
        <v>21.8</v>
      </c>
      <c r="AA66" s="49">
        <f t="shared" si="140"/>
        <v>25.8</v>
      </c>
      <c r="AB66" s="49">
        <f t="shared" si="140"/>
        <v>23.4</v>
      </c>
      <c r="AC66" s="49">
        <f t="shared" si="140"/>
        <v>34.6</v>
      </c>
      <c r="AD66" s="49">
        <f t="shared" si="140"/>
        <v>47.8</v>
      </c>
      <c r="AE66" s="47">
        <f t="shared" si="141"/>
        <v>16.600000000000001</v>
      </c>
      <c r="AF66" s="122">
        <f>RCFs!E13</f>
        <v>16.59</v>
      </c>
      <c r="AG66" s="49">
        <f t="shared" si="142"/>
        <v>27.4</v>
      </c>
      <c r="AH66" s="49">
        <f t="shared" si="142"/>
        <v>34.9</v>
      </c>
      <c r="AI66" s="49">
        <f t="shared" si="142"/>
        <v>49.8</v>
      </c>
      <c r="AJ66" s="47">
        <f t="shared" si="143"/>
        <v>16.399999999999999</v>
      </c>
      <c r="AK66" s="122">
        <f>RCFs!E24</f>
        <v>16.387434554973822</v>
      </c>
      <c r="AL66" s="47">
        <f t="shared" si="144"/>
        <v>22.1</v>
      </c>
      <c r="AM66" s="122">
        <f>RCFs!E28</f>
        <v>22.094240837696333</v>
      </c>
      <c r="AN66" s="47">
        <f t="shared" si="68"/>
        <v>17.5</v>
      </c>
      <c r="AO66" s="122">
        <f>RCFs!E33</f>
        <v>17.594999999999999</v>
      </c>
      <c r="AP66" s="49">
        <f t="shared" si="69"/>
        <v>26.2</v>
      </c>
      <c r="AQ66" s="46">
        <f t="shared" si="70"/>
        <v>17.5</v>
      </c>
      <c r="AR66" s="122">
        <f>RCFs!E35</f>
        <v>17.55</v>
      </c>
      <c r="AS66" s="49">
        <f t="shared" si="116"/>
        <v>22.7</v>
      </c>
      <c r="AT66" s="49">
        <f t="shared" si="116"/>
        <v>25.3</v>
      </c>
      <c r="AU66" s="47">
        <f t="shared" si="75"/>
        <v>11.5</v>
      </c>
      <c r="AV66" s="122">
        <f>RCFs!E37</f>
        <v>11.507999999999999</v>
      </c>
      <c r="AW66" s="47">
        <f t="shared" si="75"/>
        <v>17.399999999999999</v>
      </c>
      <c r="AX66" s="122">
        <f>RCFs!E39</f>
        <v>17.481675392670155</v>
      </c>
      <c r="AY66" s="47">
        <f t="shared" ref="AY66:AY67" si="154">ROUNDDOWN($C66*AZ66,1)</f>
        <v>20.8</v>
      </c>
      <c r="AZ66" s="122">
        <f>RCFs!D41</f>
        <v>20.867000000000001</v>
      </c>
    </row>
    <row r="67" spans="1:52" s="72" customFormat="1" x14ac:dyDescent="0.2">
      <c r="A67" s="78" t="s">
        <v>95</v>
      </c>
      <c r="B67" s="71" t="s">
        <v>85</v>
      </c>
      <c r="C67" s="47">
        <v>50</v>
      </c>
      <c r="D67" s="77">
        <f t="shared" si="60"/>
        <v>702.1</v>
      </c>
      <c r="E67" s="119">
        <f t="shared" si="146"/>
        <v>14.041</v>
      </c>
      <c r="F67" s="47">
        <f t="shared" si="139"/>
        <v>699.2</v>
      </c>
      <c r="G67" s="120">
        <f>RCFs!$F$5</f>
        <v>13.984</v>
      </c>
      <c r="H67" s="47">
        <f t="shared" si="62"/>
        <v>699.2</v>
      </c>
      <c r="I67" s="120">
        <f>RCFs!$F$5</f>
        <v>13.984</v>
      </c>
      <c r="J67" s="49">
        <f t="shared" si="129"/>
        <v>769.1</v>
      </c>
      <c r="K67" s="49">
        <f t="shared" si="129"/>
        <v>957.9</v>
      </c>
      <c r="L67" s="49">
        <f t="shared" si="129"/>
        <v>1027.8</v>
      </c>
      <c r="M67" s="49">
        <f t="shared" si="129"/>
        <v>1132.7</v>
      </c>
      <c r="N67" s="49">
        <f t="shared" si="129"/>
        <v>1398.4</v>
      </c>
      <c r="O67" s="49">
        <f t="shared" si="129"/>
        <v>1503.3</v>
      </c>
      <c r="P67" s="49">
        <f t="shared" si="129"/>
        <v>2097.6</v>
      </c>
      <c r="Q67" s="47">
        <f t="shared" si="64"/>
        <v>690</v>
      </c>
      <c r="R67" s="120">
        <f>RCFs!F$7</f>
        <v>13.8</v>
      </c>
      <c r="S67" s="49">
        <f t="shared" si="115"/>
        <v>897</v>
      </c>
      <c r="T67" s="49">
        <f t="shared" si="115"/>
        <v>1035</v>
      </c>
      <c r="U67" s="47">
        <f t="shared" si="72"/>
        <v>677.7</v>
      </c>
      <c r="V67" s="122">
        <f>RCFs!F$9</f>
        <v>13.554</v>
      </c>
      <c r="W67" s="47">
        <f t="shared" si="73"/>
        <v>677.7</v>
      </c>
      <c r="X67" s="122">
        <f t="shared" si="74"/>
        <v>13.554</v>
      </c>
      <c r="Y67" s="49">
        <f t="shared" si="140"/>
        <v>745.5</v>
      </c>
      <c r="Z67" s="49">
        <f t="shared" si="140"/>
        <v>928.4</v>
      </c>
      <c r="AA67" s="49">
        <f t="shared" si="140"/>
        <v>1097.9000000000001</v>
      </c>
      <c r="AB67" s="49">
        <f t="shared" si="140"/>
        <v>996.2</v>
      </c>
      <c r="AC67" s="49">
        <f t="shared" si="140"/>
        <v>1470.6</v>
      </c>
      <c r="AD67" s="49">
        <f t="shared" si="140"/>
        <v>2033.1</v>
      </c>
      <c r="AE67" s="47">
        <f t="shared" si="141"/>
        <v>690</v>
      </c>
      <c r="AF67" s="122">
        <f>RCFs!F$13</f>
        <v>13.8</v>
      </c>
      <c r="AG67" s="49">
        <f t="shared" si="142"/>
        <v>1138.5</v>
      </c>
      <c r="AH67" s="49">
        <f t="shared" si="142"/>
        <v>1449</v>
      </c>
      <c r="AI67" s="49">
        <f t="shared" si="142"/>
        <v>2070</v>
      </c>
      <c r="AJ67" s="47">
        <f t="shared" si="143"/>
        <v>675.9</v>
      </c>
      <c r="AK67" s="122">
        <f>RCFs!F$24</f>
        <v>13.517999999999999</v>
      </c>
      <c r="AL67" s="47">
        <f t="shared" si="144"/>
        <v>911</v>
      </c>
      <c r="AM67" s="122">
        <f>RCFs!F$28</f>
        <v>18.22</v>
      </c>
      <c r="AN67" s="47">
        <f t="shared" si="68"/>
        <v>725.4</v>
      </c>
      <c r="AO67" s="122">
        <f>RCFs!F$33</f>
        <v>14.507999999999999</v>
      </c>
      <c r="AP67" s="49">
        <f t="shared" si="69"/>
        <v>1088.0999999999999</v>
      </c>
      <c r="AQ67" s="46">
        <f t="shared" si="70"/>
        <v>730</v>
      </c>
      <c r="AR67" s="122">
        <f>RCFs!F$35</f>
        <v>14.6</v>
      </c>
      <c r="AS67" s="49">
        <f t="shared" si="116"/>
        <v>949</v>
      </c>
      <c r="AT67" s="49">
        <f t="shared" si="116"/>
        <v>1058.5</v>
      </c>
      <c r="AU67" s="47">
        <f t="shared" si="75"/>
        <v>711.4</v>
      </c>
      <c r="AV67" s="122">
        <f>RCFs!F$37</f>
        <v>14.228</v>
      </c>
      <c r="AW67" s="47">
        <f t="shared" si="75"/>
        <v>728.3</v>
      </c>
      <c r="AX67" s="122">
        <f>RCFs!F$39</f>
        <v>14.565999999999999</v>
      </c>
      <c r="AY67" s="47">
        <f t="shared" si="154"/>
        <v>702</v>
      </c>
      <c r="AZ67" s="122">
        <f>RCFs!F$41</f>
        <v>14.041</v>
      </c>
    </row>
    <row r="68" spans="1:52" x14ac:dyDescent="0.2">
      <c r="A68" s="79"/>
      <c r="B68" s="80"/>
      <c r="C68" s="81"/>
      <c r="D68" s="81"/>
      <c r="E68" s="82"/>
      <c r="F68" s="81"/>
      <c r="G68" s="82"/>
      <c r="H68" s="81"/>
      <c r="I68" s="82"/>
      <c r="J68" s="118"/>
      <c r="K68" s="118"/>
      <c r="L68" s="118"/>
      <c r="M68" s="118"/>
      <c r="N68" s="118"/>
      <c r="O68" s="118"/>
      <c r="P68" s="118"/>
      <c r="Q68" s="81"/>
      <c r="R68" s="82"/>
      <c r="S68" s="118"/>
      <c r="T68" s="118"/>
      <c r="U68" s="81"/>
      <c r="V68" s="82"/>
      <c r="W68" s="81"/>
      <c r="X68" s="82"/>
      <c r="Y68" s="84"/>
      <c r="Z68" s="84"/>
      <c r="AA68" s="84"/>
      <c r="AB68" s="84"/>
      <c r="AC68" s="84"/>
      <c r="AD68" s="84"/>
      <c r="AE68" s="83"/>
      <c r="AF68" s="82"/>
      <c r="AG68" s="85"/>
      <c r="AH68" s="85"/>
      <c r="AI68" s="85"/>
      <c r="AJ68" s="81"/>
      <c r="AK68" s="82"/>
      <c r="AL68" s="81"/>
      <c r="AM68" s="82"/>
      <c r="AN68" s="83"/>
      <c r="AO68" s="82"/>
      <c r="AP68" s="85"/>
      <c r="AQ68" s="83"/>
      <c r="AR68" s="82"/>
      <c r="AS68" s="85"/>
      <c r="AT68" s="85"/>
      <c r="AU68" s="56"/>
      <c r="AV68" s="57"/>
      <c r="AW68" s="56"/>
      <c r="AX68" s="57"/>
      <c r="AY68" s="56"/>
      <c r="AZ68" s="57"/>
    </row>
    <row r="69" spans="1:52" x14ac:dyDescent="0.2">
      <c r="A69" s="24"/>
      <c r="B69" s="25" t="s">
        <v>150</v>
      </c>
      <c r="C69" s="26"/>
      <c r="D69" s="27"/>
      <c r="E69" s="28"/>
      <c r="F69" s="27"/>
      <c r="G69" s="28"/>
      <c r="H69" s="27"/>
      <c r="I69" s="28"/>
      <c r="J69" s="28"/>
      <c r="K69" s="28"/>
      <c r="L69" s="28"/>
      <c r="M69" s="28"/>
      <c r="N69" s="28"/>
      <c r="O69" s="28"/>
      <c r="P69" s="28"/>
      <c r="Q69" s="27"/>
      <c r="R69" s="28"/>
      <c r="S69" s="28"/>
      <c r="T69" s="28"/>
      <c r="U69" s="29"/>
      <c r="V69" s="28"/>
      <c r="W69" s="29"/>
      <c r="X69" s="28"/>
      <c r="Y69" s="31"/>
      <c r="Z69" s="30"/>
      <c r="AA69" s="31"/>
      <c r="AB69" s="31"/>
      <c r="AC69" s="31"/>
      <c r="AD69" s="31"/>
      <c r="AE69" s="29"/>
      <c r="AF69" s="28"/>
      <c r="AG69" s="27"/>
      <c r="AH69" s="27"/>
      <c r="AI69" s="32"/>
      <c r="AJ69" s="27"/>
      <c r="AK69" s="27"/>
      <c r="AL69" s="27"/>
      <c r="AM69" s="27"/>
      <c r="AN69" s="29"/>
      <c r="AO69" s="28"/>
      <c r="AP69" s="27"/>
      <c r="AQ69" s="29"/>
      <c r="AR69" s="28"/>
      <c r="AS69" s="27"/>
      <c r="AT69" s="27"/>
      <c r="AU69" s="28"/>
      <c r="AV69" s="28"/>
      <c r="AW69" s="28"/>
      <c r="AX69" s="28"/>
      <c r="AY69" s="28"/>
      <c r="AZ69" s="135"/>
    </row>
    <row r="70" spans="1:52" x14ac:dyDescent="0.2">
      <c r="A70" s="62"/>
      <c r="B70" s="63"/>
      <c r="C70" s="64"/>
      <c r="D70" s="37"/>
      <c r="E70" s="65"/>
      <c r="F70" s="37"/>
      <c r="G70" s="65"/>
      <c r="H70" s="37"/>
      <c r="I70" s="65"/>
      <c r="J70" s="69"/>
      <c r="K70" s="69"/>
      <c r="L70" s="69"/>
      <c r="M70" s="69"/>
      <c r="N70" s="69"/>
      <c r="O70" s="69"/>
      <c r="P70" s="69"/>
      <c r="Q70" s="37"/>
      <c r="R70" s="65"/>
      <c r="S70" s="69"/>
      <c r="T70" s="69"/>
      <c r="U70" s="37"/>
      <c r="V70" s="65"/>
      <c r="W70" s="37"/>
      <c r="X70" s="65"/>
      <c r="Y70" s="68"/>
      <c r="Z70" s="68"/>
      <c r="AA70" s="68"/>
      <c r="AB70" s="68"/>
      <c r="AC70" s="68"/>
      <c r="AD70" s="68"/>
      <c r="AE70" s="66"/>
      <c r="AF70" s="65"/>
      <c r="AG70" s="69"/>
      <c r="AH70" s="69"/>
      <c r="AI70" s="69"/>
      <c r="AJ70" s="67"/>
      <c r="AK70" s="65"/>
      <c r="AL70" s="37"/>
      <c r="AM70" s="65"/>
      <c r="AN70" s="66"/>
      <c r="AO70" s="65"/>
      <c r="AP70" s="69"/>
      <c r="AQ70" s="66"/>
      <c r="AR70" s="65"/>
      <c r="AS70" s="69"/>
      <c r="AT70" s="69"/>
      <c r="AU70" s="37"/>
      <c r="AV70" s="65"/>
      <c r="AW70" s="37"/>
      <c r="AX70" s="65"/>
      <c r="AY70" s="37"/>
      <c r="AZ70" s="65"/>
    </row>
    <row r="71" spans="1:52" x14ac:dyDescent="0.2">
      <c r="A71" s="70">
        <v>2599</v>
      </c>
      <c r="B71" s="71" t="s">
        <v>151</v>
      </c>
      <c r="C71" s="47">
        <v>63.6</v>
      </c>
      <c r="D71" s="47">
        <f t="shared" ref="D71:D80" si="155">ROUND(E71*C71,1)</f>
        <v>3391.4</v>
      </c>
      <c r="E71" s="120">
        <f>RCFs!$C$43</f>
        <v>53.323999999999998</v>
      </c>
      <c r="F71" s="177">
        <f t="shared" ref="F71:F80" si="156">ROUND(G71*C71,1)</f>
        <v>933.1</v>
      </c>
      <c r="G71" s="178">
        <f>RCFs!$C$5</f>
        <v>14.670999999999999</v>
      </c>
      <c r="H71" s="177">
        <f t="shared" ref="H71:H80" si="157">ROUND(I71*C71,1)</f>
        <v>933.1</v>
      </c>
      <c r="I71" s="178">
        <f>RCFs!$C$5</f>
        <v>14.670999999999999</v>
      </c>
      <c r="J71" s="179">
        <f t="shared" ref="J71:P80" si="158">ROUND($C71*$I71*J$6,1)</f>
        <v>1026.4000000000001</v>
      </c>
      <c r="K71" s="179">
        <f t="shared" si="158"/>
        <v>1278.3</v>
      </c>
      <c r="L71" s="179">
        <f t="shared" si="158"/>
        <v>1371.6</v>
      </c>
      <c r="M71" s="179">
        <f t="shared" si="158"/>
        <v>1511.6</v>
      </c>
      <c r="N71" s="179">
        <f t="shared" si="158"/>
        <v>1866.2</v>
      </c>
      <c r="O71" s="179">
        <f t="shared" si="158"/>
        <v>2006.1</v>
      </c>
      <c r="P71" s="179">
        <f t="shared" si="158"/>
        <v>2799.2</v>
      </c>
      <c r="Q71" s="177">
        <f t="shared" ref="Q71:Q80" si="159">ROUNDDOWN(C71*R71,1)</f>
        <v>917.1</v>
      </c>
      <c r="R71" s="178">
        <f>RCFs!$C$7</f>
        <v>14.42</v>
      </c>
      <c r="S71" s="179">
        <f t="shared" ref="S71:T80" si="160">ROUNDDOWN($Q71*S$6,1)</f>
        <v>1192.2</v>
      </c>
      <c r="T71" s="179">
        <f t="shared" si="160"/>
        <v>1375.6</v>
      </c>
      <c r="U71" s="177">
        <f t="shared" ref="U71" si="161">ROUNDDOWN($C71*V71,1)</f>
        <v>904.2</v>
      </c>
      <c r="V71" s="178">
        <f>RCFs!$C$9</f>
        <v>14.218</v>
      </c>
      <c r="W71" s="177">
        <f t="shared" ref="W71" si="162">ROUNDDOWN($C71*X71,1)</f>
        <v>904.2</v>
      </c>
      <c r="X71" s="178">
        <f t="shared" ref="X71" si="163">V71</f>
        <v>14.218</v>
      </c>
      <c r="Y71" s="179">
        <f t="shared" ref="Y71:AD80" si="164">ROUND($C71*$X71*Y$6,1)</f>
        <v>994.7</v>
      </c>
      <c r="Z71" s="179">
        <f t="shared" si="164"/>
        <v>1238.8</v>
      </c>
      <c r="AA71" s="179">
        <f t="shared" si="164"/>
        <v>1464.9</v>
      </c>
      <c r="AB71" s="179">
        <f t="shared" si="164"/>
        <v>1329.3</v>
      </c>
      <c r="AC71" s="179">
        <f t="shared" si="164"/>
        <v>1962.3</v>
      </c>
      <c r="AD71" s="179">
        <f t="shared" si="164"/>
        <v>2712.8</v>
      </c>
      <c r="AE71" s="177">
        <f t="shared" ref="AE71:AE80" si="165">ROUND(AF71*C71,1)</f>
        <v>919</v>
      </c>
      <c r="AF71" s="178">
        <f>RCFs!C$13</f>
        <v>14.45</v>
      </c>
      <c r="AG71" s="179">
        <f t="shared" ref="AG71:AI80" si="166">ROUND($AE71*AG$6,1)</f>
        <v>1516.4</v>
      </c>
      <c r="AH71" s="179">
        <f t="shared" si="166"/>
        <v>1929.9</v>
      </c>
      <c r="AI71" s="179">
        <f t="shared" si="166"/>
        <v>2757</v>
      </c>
      <c r="AJ71" s="177">
        <f t="shared" ref="AJ71:AJ80" si="167">ROUND(AK71*C71,1)</f>
        <v>900.8</v>
      </c>
      <c r="AK71" s="178">
        <f>RCFs!C$24</f>
        <v>14.164285714285715</v>
      </c>
      <c r="AL71" s="177">
        <f t="shared" ref="AL71:AL80" si="168">ROUND(AM71*C71,1)</f>
        <v>1215.2</v>
      </c>
      <c r="AM71" s="178">
        <f>RCFs!$C$28</f>
        <v>19.107142857142858</v>
      </c>
      <c r="AN71" s="177">
        <f t="shared" ref="AN71:AN80" si="169">ROUNDDOWN(C71*AO71,1)</f>
        <v>967.9</v>
      </c>
      <c r="AO71" s="178">
        <f>RCFs!C$33</f>
        <v>15.22</v>
      </c>
      <c r="AP71" s="179">
        <f t="shared" ref="AP71:AP80" si="170">ROUNDDOWN($AN71*AP$6,1)</f>
        <v>1451.8</v>
      </c>
      <c r="AQ71" s="180">
        <f t="shared" ref="AQ71:AQ80" si="171">ROUNDDOWN(AR71*C71,1)</f>
        <v>969.2</v>
      </c>
      <c r="AR71" s="178">
        <f>RCFs!$C$35</f>
        <v>15.24</v>
      </c>
      <c r="AS71" s="179">
        <f t="shared" ref="AS71:AT80" si="172">ROUNDDOWN($AQ71*AS$6,1)</f>
        <v>1259.9000000000001</v>
      </c>
      <c r="AT71" s="179">
        <f t="shared" si="172"/>
        <v>1405.3</v>
      </c>
      <c r="AU71" s="47">
        <v>710.8</v>
      </c>
      <c r="AV71" s="44">
        <f t="shared" ref="AV71:AV80" si="173">AU71/C71</f>
        <v>11.176100628930817</v>
      </c>
      <c r="AW71" s="177">
        <f t="shared" ref="AW71" si="174">ROUNDDOWN($C71*AX71,1)</f>
        <v>971.7</v>
      </c>
      <c r="AX71" s="178">
        <f>RCFs!C$39</f>
        <v>15.278571428571428</v>
      </c>
      <c r="AY71" s="177">
        <f t="shared" ref="AY71" si="175">ROUNDDOWN($C71*AZ71,1)</f>
        <v>936.8</v>
      </c>
      <c r="AZ71" s="178">
        <f>RCFs!$C$41</f>
        <v>14.73</v>
      </c>
    </row>
    <row r="72" spans="1:52" s="72" customFormat="1" ht="14.25" customHeight="1" x14ac:dyDescent="0.2">
      <c r="A72" s="70">
        <v>2600</v>
      </c>
      <c r="B72" s="71" t="s">
        <v>152</v>
      </c>
      <c r="C72" s="47">
        <v>63.6</v>
      </c>
      <c r="D72" s="47">
        <f t="shared" si="155"/>
        <v>3391.4</v>
      </c>
      <c r="E72" s="120">
        <f>RCFs!$C$43</f>
        <v>53.323999999999998</v>
      </c>
      <c r="F72" s="177">
        <f t="shared" si="156"/>
        <v>933.1</v>
      </c>
      <c r="G72" s="178">
        <f>RCFs!$C$5</f>
        <v>14.670999999999999</v>
      </c>
      <c r="H72" s="177">
        <f t="shared" si="157"/>
        <v>933.1</v>
      </c>
      <c r="I72" s="178">
        <f>RCFs!$C$5</f>
        <v>14.670999999999999</v>
      </c>
      <c r="J72" s="179">
        <f t="shared" si="158"/>
        <v>1026.4000000000001</v>
      </c>
      <c r="K72" s="179">
        <f t="shared" si="158"/>
        <v>1278.3</v>
      </c>
      <c r="L72" s="179">
        <f t="shared" si="158"/>
        <v>1371.6</v>
      </c>
      <c r="M72" s="179">
        <f t="shared" si="158"/>
        <v>1511.6</v>
      </c>
      <c r="N72" s="179">
        <f t="shared" si="158"/>
        <v>1866.2</v>
      </c>
      <c r="O72" s="179">
        <f t="shared" si="158"/>
        <v>2006.1</v>
      </c>
      <c r="P72" s="179">
        <f t="shared" si="158"/>
        <v>2799.2</v>
      </c>
      <c r="Q72" s="177">
        <f t="shared" si="159"/>
        <v>917.1</v>
      </c>
      <c r="R72" s="178">
        <f>RCFs!$C$7</f>
        <v>14.42</v>
      </c>
      <c r="S72" s="179">
        <f t="shared" si="160"/>
        <v>1192.2</v>
      </c>
      <c r="T72" s="179">
        <f t="shared" si="160"/>
        <v>1375.6</v>
      </c>
      <c r="U72" s="177">
        <f t="shared" ref="U72:U80" si="176">ROUNDDOWN($C72*V72,1)</f>
        <v>904.2</v>
      </c>
      <c r="V72" s="178">
        <f>RCFs!$C$9</f>
        <v>14.218</v>
      </c>
      <c r="W72" s="177">
        <f t="shared" ref="W72:W80" si="177">ROUNDDOWN($C72*X72,1)</f>
        <v>904.2</v>
      </c>
      <c r="X72" s="178">
        <f t="shared" ref="X72:X80" si="178">V72</f>
        <v>14.218</v>
      </c>
      <c r="Y72" s="179">
        <f t="shared" si="164"/>
        <v>994.7</v>
      </c>
      <c r="Z72" s="179">
        <f t="shared" si="164"/>
        <v>1238.8</v>
      </c>
      <c r="AA72" s="179">
        <f t="shared" si="164"/>
        <v>1464.9</v>
      </c>
      <c r="AB72" s="179">
        <f t="shared" si="164"/>
        <v>1329.3</v>
      </c>
      <c r="AC72" s="179">
        <f t="shared" si="164"/>
        <v>1962.3</v>
      </c>
      <c r="AD72" s="179">
        <f t="shared" si="164"/>
        <v>2712.8</v>
      </c>
      <c r="AE72" s="177">
        <f t="shared" si="165"/>
        <v>919</v>
      </c>
      <c r="AF72" s="178">
        <f>RCFs!C$13</f>
        <v>14.45</v>
      </c>
      <c r="AG72" s="179">
        <f t="shared" si="166"/>
        <v>1516.4</v>
      </c>
      <c r="AH72" s="179">
        <f t="shared" si="166"/>
        <v>1929.9</v>
      </c>
      <c r="AI72" s="179">
        <f t="shared" si="166"/>
        <v>2757</v>
      </c>
      <c r="AJ72" s="177">
        <f t="shared" si="167"/>
        <v>900.8</v>
      </c>
      <c r="AK72" s="178">
        <f>RCFs!C$24</f>
        <v>14.164285714285715</v>
      </c>
      <c r="AL72" s="177">
        <f t="shared" si="168"/>
        <v>1215.2</v>
      </c>
      <c r="AM72" s="178">
        <f>RCFs!$C$28</f>
        <v>19.107142857142858</v>
      </c>
      <c r="AN72" s="177">
        <f t="shared" si="169"/>
        <v>967.9</v>
      </c>
      <c r="AO72" s="178">
        <f>RCFs!C$33</f>
        <v>15.22</v>
      </c>
      <c r="AP72" s="179">
        <f t="shared" si="170"/>
        <v>1451.8</v>
      </c>
      <c r="AQ72" s="180">
        <f t="shared" si="171"/>
        <v>969.2</v>
      </c>
      <c r="AR72" s="178">
        <f>RCFs!$C$35</f>
        <v>15.24</v>
      </c>
      <c r="AS72" s="179">
        <f t="shared" si="172"/>
        <v>1259.9000000000001</v>
      </c>
      <c r="AT72" s="179">
        <f t="shared" si="172"/>
        <v>1405.3</v>
      </c>
      <c r="AU72" s="47">
        <v>834.1</v>
      </c>
      <c r="AV72" s="44">
        <f t="shared" si="173"/>
        <v>13.114779874213836</v>
      </c>
      <c r="AW72" s="177">
        <f t="shared" ref="AW72:AW80" si="179">ROUNDDOWN($C72*AX72,1)</f>
        <v>971.7</v>
      </c>
      <c r="AX72" s="178">
        <f>RCFs!C$39</f>
        <v>15.278571428571428</v>
      </c>
      <c r="AY72" s="177">
        <f t="shared" ref="AY72:AY80" si="180">ROUNDDOWN($C72*AZ72,1)</f>
        <v>936.8</v>
      </c>
      <c r="AZ72" s="178">
        <f>RCFs!$C$41</f>
        <v>14.73</v>
      </c>
    </row>
    <row r="73" spans="1:52" s="72" customFormat="1" ht="25.5" x14ac:dyDescent="0.2">
      <c r="A73" s="70">
        <v>2604</v>
      </c>
      <c r="B73" s="71" t="s">
        <v>153</v>
      </c>
      <c r="C73" s="47">
        <v>54.2</v>
      </c>
      <c r="D73" s="47">
        <f t="shared" si="155"/>
        <v>2890.2</v>
      </c>
      <c r="E73" s="120">
        <f>RCFs!$C$43</f>
        <v>53.323999999999998</v>
      </c>
      <c r="F73" s="177">
        <f t="shared" si="156"/>
        <v>795.2</v>
      </c>
      <c r="G73" s="178">
        <f>RCFs!$C$5</f>
        <v>14.670999999999999</v>
      </c>
      <c r="H73" s="177">
        <f t="shared" si="157"/>
        <v>795.2</v>
      </c>
      <c r="I73" s="178">
        <f>RCFs!$C$5</f>
        <v>14.670999999999999</v>
      </c>
      <c r="J73" s="179">
        <f t="shared" si="158"/>
        <v>874.7</v>
      </c>
      <c r="K73" s="179">
        <f t="shared" si="158"/>
        <v>1089.4000000000001</v>
      </c>
      <c r="L73" s="179">
        <f t="shared" si="158"/>
        <v>1168.9000000000001</v>
      </c>
      <c r="M73" s="179">
        <f t="shared" si="158"/>
        <v>1288.2</v>
      </c>
      <c r="N73" s="179">
        <f t="shared" si="158"/>
        <v>1590.3</v>
      </c>
      <c r="O73" s="179">
        <f t="shared" si="158"/>
        <v>1709.6</v>
      </c>
      <c r="P73" s="179">
        <f t="shared" si="158"/>
        <v>2385.5</v>
      </c>
      <c r="Q73" s="177">
        <f t="shared" si="159"/>
        <v>781.5</v>
      </c>
      <c r="R73" s="178">
        <f>RCFs!$C$7</f>
        <v>14.42</v>
      </c>
      <c r="S73" s="179">
        <f t="shared" si="160"/>
        <v>1015.9</v>
      </c>
      <c r="T73" s="179">
        <f t="shared" si="160"/>
        <v>1172.2</v>
      </c>
      <c r="U73" s="177">
        <f t="shared" si="176"/>
        <v>770.6</v>
      </c>
      <c r="V73" s="178">
        <f>RCFs!$C$9</f>
        <v>14.218</v>
      </c>
      <c r="W73" s="177">
        <f t="shared" si="177"/>
        <v>770.6</v>
      </c>
      <c r="X73" s="178">
        <f t="shared" si="178"/>
        <v>14.218</v>
      </c>
      <c r="Y73" s="179">
        <f t="shared" si="164"/>
        <v>847.7</v>
      </c>
      <c r="Z73" s="179">
        <f t="shared" si="164"/>
        <v>1055.7</v>
      </c>
      <c r="AA73" s="179">
        <f t="shared" si="164"/>
        <v>1248.4000000000001</v>
      </c>
      <c r="AB73" s="179">
        <f t="shared" si="164"/>
        <v>1132.8</v>
      </c>
      <c r="AC73" s="179">
        <f t="shared" si="164"/>
        <v>1672.2</v>
      </c>
      <c r="AD73" s="179">
        <f t="shared" si="164"/>
        <v>2311.8000000000002</v>
      </c>
      <c r="AE73" s="177">
        <f t="shared" si="165"/>
        <v>783.2</v>
      </c>
      <c r="AF73" s="178">
        <f>RCFs!C$13</f>
        <v>14.45</v>
      </c>
      <c r="AG73" s="179">
        <f t="shared" si="166"/>
        <v>1292.3</v>
      </c>
      <c r="AH73" s="179">
        <f t="shared" si="166"/>
        <v>1644.7</v>
      </c>
      <c r="AI73" s="179">
        <f t="shared" si="166"/>
        <v>2349.6</v>
      </c>
      <c r="AJ73" s="177">
        <f t="shared" si="167"/>
        <v>767.7</v>
      </c>
      <c r="AK73" s="178">
        <f>RCFs!C$24</f>
        <v>14.164285714285715</v>
      </c>
      <c r="AL73" s="177">
        <f t="shared" si="168"/>
        <v>1035.5999999999999</v>
      </c>
      <c r="AM73" s="178">
        <f>RCFs!$C$28</f>
        <v>19.107142857142858</v>
      </c>
      <c r="AN73" s="177">
        <f t="shared" si="169"/>
        <v>824.9</v>
      </c>
      <c r="AO73" s="178">
        <f>RCFs!C$33</f>
        <v>15.22</v>
      </c>
      <c r="AP73" s="179">
        <f t="shared" si="170"/>
        <v>1237.3</v>
      </c>
      <c r="AQ73" s="180">
        <f t="shared" si="171"/>
        <v>826</v>
      </c>
      <c r="AR73" s="178">
        <f>RCFs!$C$35</f>
        <v>15.24</v>
      </c>
      <c r="AS73" s="179">
        <f t="shared" si="172"/>
        <v>1073.8</v>
      </c>
      <c r="AT73" s="179">
        <f t="shared" si="172"/>
        <v>1197.7</v>
      </c>
      <c r="AU73" s="47">
        <v>834.1</v>
      </c>
      <c r="AV73" s="44">
        <f t="shared" si="173"/>
        <v>15.389298892988929</v>
      </c>
      <c r="AW73" s="177">
        <f t="shared" si="179"/>
        <v>828</v>
      </c>
      <c r="AX73" s="178">
        <f>RCFs!C$39</f>
        <v>15.278571428571428</v>
      </c>
      <c r="AY73" s="177">
        <f t="shared" si="180"/>
        <v>798.3</v>
      </c>
      <c r="AZ73" s="178">
        <f>RCFs!$C$41</f>
        <v>14.73</v>
      </c>
    </row>
    <row r="74" spans="1:52" s="72" customFormat="1" x14ac:dyDescent="0.2">
      <c r="A74" s="73">
        <v>2605</v>
      </c>
      <c r="B74" s="74" t="s">
        <v>154</v>
      </c>
      <c r="C74" s="47">
        <v>24.4</v>
      </c>
      <c r="D74" s="47">
        <f t="shared" si="155"/>
        <v>1301.0999999999999</v>
      </c>
      <c r="E74" s="120">
        <f>RCFs!$C$43</f>
        <v>53.323999999999998</v>
      </c>
      <c r="F74" s="177">
        <f t="shared" si="156"/>
        <v>358</v>
      </c>
      <c r="G74" s="178">
        <f>RCFs!$C$5</f>
        <v>14.670999999999999</v>
      </c>
      <c r="H74" s="177">
        <f t="shared" si="157"/>
        <v>358</v>
      </c>
      <c r="I74" s="178">
        <f>RCFs!$C$5</f>
        <v>14.670999999999999</v>
      </c>
      <c r="J74" s="179">
        <f t="shared" si="158"/>
        <v>393.8</v>
      </c>
      <c r="K74" s="179">
        <f t="shared" si="158"/>
        <v>490.4</v>
      </c>
      <c r="L74" s="179">
        <f t="shared" si="158"/>
        <v>526.20000000000005</v>
      </c>
      <c r="M74" s="179">
        <f t="shared" si="158"/>
        <v>579.9</v>
      </c>
      <c r="N74" s="179">
        <f t="shared" si="158"/>
        <v>715.9</v>
      </c>
      <c r="O74" s="179">
        <f t="shared" si="158"/>
        <v>769.6</v>
      </c>
      <c r="P74" s="179">
        <f t="shared" si="158"/>
        <v>1073.9000000000001</v>
      </c>
      <c r="Q74" s="177">
        <f t="shared" si="159"/>
        <v>351.8</v>
      </c>
      <c r="R74" s="178">
        <f>RCFs!$C$7</f>
        <v>14.42</v>
      </c>
      <c r="S74" s="179">
        <f t="shared" si="160"/>
        <v>457.3</v>
      </c>
      <c r="T74" s="179">
        <f t="shared" si="160"/>
        <v>527.70000000000005</v>
      </c>
      <c r="U74" s="177">
        <f t="shared" si="176"/>
        <v>346.9</v>
      </c>
      <c r="V74" s="178">
        <f>RCFs!$C$9</f>
        <v>14.218</v>
      </c>
      <c r="W74" s="177">
        <f t="shared" si="177"/>
        <v>346.9</v>
      </c>
      <c r="X74" s="178">
        <f t="shared" si="178"/>
        <v>14.218</v>
      </c>
      <c r="Y74" s="179">
        <f t="shared" si="164"/>
        <v>381.6</v>
      </c>
      <c r="Z74" s="179">
        <f t="shared" si="164"/>
        <v>475.3</v>
      </c>
      <c r="AA74" s="179">
        <f t="shared" si="164"/>
        <v>562</v>
      </c>
      <c r="AB74" s="179">
        <f t="shared" si="164"/>
        <v>510</v>
      </c>
      <c r="AC74" s="179">
        <f t="shared" si="164"/>
        <v>752.8</v>
      </c>
      <c r="AD74" s="179">
        <f t="shared" si="164"/>
        <v>1040.8</v>
      </c>
      <c r="AE74" s="177">
        <f t="shared" si="165"/>
        <v>352.6</v>
      </c>
      <c r="AF74" s="178">
        <f>RCFs!C$13</f>
        <v>14.45</v>
      </c>
      <c r="AG74" s="179">
        <f t="shared" si="166"/>
        <v>581.79999999999995</v>
      </c>
      <c r="AH74" s="179">
        <f t="shared" si="166"/>
        <v>740.5</v>
      </c>
      <c r="AI74" s="179">
        <f t="shared" si="166"/>
        <v>1057.8</v>
      </c>
      <c r="AJ74" s="177">
        <f t="shared" si="167"/>
        <v>345.6</v>
      </c>
      <c r="AK74" s="178">
        <f>RCFs!C$24</f>
        <v>14.164285714285715</v>
      </c>
      <c r="AL74" s="177">
        <f t="shared" si="168"/>
        <v>466.2</v>
      </c>
      <c r="AM74" s="178">
        <f>RCFs!$C$28</f>
        <v>19.107142857142858</v>
      </c>
      <c r="AN74" s="177">
        <f t="shared" si="169"/>
        <v>371.3</v>
      </c>
      <c r="AO74" s="178">
        <f>RCFs!C$33</f>
        <v>15.22</v>
      </c>
      <c r="AP74" s="179">
        <f t="shared" si="170"/>
        <v>556.9</v>
      </c>
      <c r="AQ74" s="180">
        <f t="shared" si="171"/>
        <v>371.8</v>
      </c>
      <c r="AR74" s="178">
        <f>RCFs!$C$35</f>
        <v>15.24</v>
      </c>
      <c r="AS74" s="179">
        <f t="shared" si="172"/>
        <v>483.3</v>
      </c>
      <c r="AT74" s="179">
        <f t="shared" si="172"/>
        <v>539.1</v>
      </c>
      <c r="AU74" s="47">
        <v>312.60000000000002</v>
      </c>
      <c r="AV74" s="44">
        <f t="shared" si="173"/>
        <v>12.811475409836067</v>
      </c>
      <c r="AW74" s="177">
        <f t="shared" si="179"/>
        <v>372.7</v>
      </c>
      <c r="AX74" s="178">
        <f>RCFs!C$39</f>
        <v>15.278571428571428</v>
      </c>
      <c r="AY74" s="177">
        <f t="shared" si="180"/>
        <v>359.4</v>
      </c>
      <c r="AZ74" s="178">
        <f>RCFs!$C$41</f>
        <v>14.73</v>
      </c>
    </row>
    <row r="75" spans="1:52" s="72" customFormat="1" x14ac:dyDescent="0.2">
      <c r="A75" s="70">
        <v>2606</v>
      </c>
      <c r="B75" s="71" t="s">
        <v>155</v>
      </c>
      <c r="C75" s="47">
        <v>61.2</v>
      </c>
      <c r="D75" s="47">
        <f t="shared" si="155"/>
        <v>3263.4</v>
      </c>
      <c r="E75" s="120">
        <f>RCFs!$C$43</f>
        <v>53.323999999999998</v>
      </c>
      <c r="F75" s="177">
        <f t="shared" si="156"/>
        <v>897.9</v>
      </c>
      <c r="G75" s="178">
        <f>RCFs!$C$5</f>
        <v>14.670999999999999</v>
      </c>
      <c r="H75" s="177">
        <f t="shared" si="157"/>
        <v>897.9</v>
      </c>
      <c r="I75" s="178">
        <f>RCFs!$C$5</f>
        <v>14.670999999999999</v>
      </c>
      <c r="J75" s="179">
        <f t="shared" si="158"/>
        <v>987.7</v>
      </c>
      <c r="K75" s="179">
        <f t="shared" si="158"/>
        <v>1230.0999999999999</v>
      </c>
      <c r="L75" s="179">
        <f t="shared" si="158"/>
        <v>1319.9</v>
      </c>
      <c r="M75" s="179">
        <f t="shared" si="158"/>
        <v>1454.5</v>
      </c>
      <c r="N75" s="179">
        <f t="shared" si="158"/>
        <v>1795.7</v>
      </c>
      <c r="O75" s="179">
        <f t="shared" si="158"/>
        <v>1930.4</v>
      </c>
      <c r="P75" s="179">
        <f t="shared" si="158"/>
        <v>2693.6</v>
      </c>
      <c r="Q75" s="177">
        <f t="shared" si="159"/>
        <v>882.5</v>
      </c>
      <c r="R75" s="178">
        <f>RCFs!$C$7</f>
        <v>14.42</v>
      </c>
      <c r="S75" s="179">
        <f t="shared" si="160"/>
        <v>1147.2</v>
      </c>
      <c r="T75" s="179">
        <f t="shared" si="160"/>
        <v>1323.7</v>
      </c>
      <c r="U75" s="177">
        <f t="shared" si="176"/>
        <v>870.1</v>
      </c>
      <c r="V75" s="178">
        <f>RCFs!$C$9</f>
        <v>14.218</v>
      </c>
      <c r="W75" s="177">
        <f t="shared" si="177"/>
        <v>870.1</v>
      </c>
      <c r="X75" s="178">
        <f t="shared" si="178"/>
        <v>14.218</v>
      </c>
      <c r="Y75" s="179">
        <f t="shared" si="164"/>
        <v>957.2</v>
      </c>
      <c r="Z75" s="179">
        <f t="shared" si="164"/>
        <v>1192.0999999999999</v>
      </c>
      <c r="AA75" s="179">
        <f t="shared" si="164"/>
        <v>1409.6</v>
      </c>
      <c r="AB75" s="179">
        <f t="shared" si="164"/>
        <v>1279.0999999999999</v>
      </c>
      <c r="AC75" s="179">
        <f t="shared" si="164"/>
        <v>1888.2</v>
      </c>
      <c r="AD75" s="179">
        <f t="shared" si="164"/>
        <v>2610.4</v>
      </c>
      <c r="AE75" s="177">
        <f t="shared" si="165"/>
        <v>884.3</v>
      </c>
      <c r="AF75" s="178">
        <f>RCFs!C$13</f>
        <v>14.45</v>
      </c>
      <c r="AG75" s="179">
        <f t="shared" si="166"/>
        <v>1459.1</v>
      </c>
      <c r="AH75" s="179">
        <f t="shared" si="166"/>
        <v>1857</v>
      </c>
      <c r="AI75" s="179">
        <f t="shared" si="166"/>
        <v>2652.9</v>
      </c>
      <c r="AJ75" s="177">
        <f t="shared" si="167"/>
        <v>866.9</v>
      </c>
      <c r="AK75" s="178">
        <f>RCFs!C$24</f>
        <v>14.164285714285715</v>
      </c>
      <c r="AL75" s="177">
        <f t="shared" si="168"/>
        <v>1169.4000000000001</v>
      </c>
      <c r="AM75" s="178">
        <f>RCFs!$C$28</f>
        <v>19.107142857142858</v>
      </c>
      <c r="AN75" s="177">
        <f t="shared" si="169"/>
        <v>931.4</v>
      </c>
      <c r="AO75" s="178">
        <f>RCFs!C$33</f>
        <v>15.22</v>
      </c>
      <c r="AP75" s="179">
        <f t="shared" si="170"/>
        <v>1397.1</v>
      </c>
      <c r="AQ75" s="180">
        <f t="shared" si="171"/>
        <v>932.6</v>
      </c>
      <c r="AR75" s="178">
        <f>RCFs!$C$35</f>
        <v>15.24</v>
      </c>
      <c r="AS75" s="179">
        <f t="shared" si="172"/>
        <v>1212.3</v>
      </c>
      <c r="AT75" s="179">
        <f t="shared" si="172"/>
        <v>1352.2</v>
      </c>
      <c r="AU75" s="47">
        <v>783.9</v>
      </c>
      <c r="AV75" s="44">
        <f t="shared" si="173"/>
        <v>12.808823529411764</v>
      </c>
      <c r="AW75" s="177">
        <f t="shared" si="179"/>
        <v>935</v>
      </c>
      <c r="AX75" s="178">
        <f>RCFs!C$39</f>
        <v>15.278571428571428</v>
      </c>
      <c r="AY75" s="177">
        <f t="shared" si="180"/>
        <v>901.4</v>
      </c>
      <c r="AZ75" s="178">
        <f>RCFs!$C$41</f>
        <v>14.73</v>
      </c>
    </row>
    <row r="76" spans="1:52" s="72" customFormat="1" x14ac:dyDescent="0.2">
      <c r="A76" s="70">
        <v>2608</v>
      </c>
      <c r="B76" s="71" t="s">
        <v>158</v>
      </c>
      <c r="C76" s="47">
        <v>156.80000000000001</v>
      </c>
      <c r="D76" s="47">
        <f>ROUND(E76*C76,1)</f>
        <v>8361.2000000000007</v>
      </c>
      <c r="E76" s="120">
        <f>RCFs!$C$43</f>
        <v>53.323999999999998</v>
      </c>
      <c r="F76" s="177">
        <f t="shared" si="156"/>
        <v>2300.4</v>
      </c>
      <c r="G76" s="178">
        <f>RCFs!$C$5</f>
        <v>14.670999999999999</v>
      </c>
      <c r="H76" s="177">
        <f t="shared" si="157"/>
        <v>2300.4</v>
      </c>
      <c r="I76" s="178">
        <f>RCFs!$C$5</f>
        <v>14.670999999999999</v>
      </c>
      <c r="J76" s="179">
        <f t="shared" si="158"/>
        <v>2530.5</v>
      </c>
      <c r="K76" s="179">
        <f t="shared" si="158"/>
        <v>3151.6</v>
      </c>
      <c r="L76" s="179">
        <f t="shared" si="158"/>
        <v>3381.6</v>
      </c>
      <c r="M76" s="179">
        <f t="shared" si="158"/>
        <v>3726.7</v>
      </c>
      <c r="N76" s="179">
        <f t="shared" si="158"/>
        <v>4600.8</v>
      </c>
      <c r="O76" s="179">
        <f t="shared" si="158"/>
        <v>4945.8999999999996</v>
      </c>
      <c r="P76" s="179">
        <f t="shared" si="158"/>
        <v>6901.2</v>
      </c>
      <c r="Q76" s="177">
        <f t="shared" si="159"/>
        <v>2261</v>
      </c>
      <c r="R76" s="178">
        <f>RCFs!$C$7</f>
        <v>14.42</v>
      </c>
      <c r="S76" s="179">
        <f t="shared" si="160"/>
        <v>2939.3</v>
      </c>
      <c r="T76" s="179">
        <f t="shared" si="160"/>
        <v>3391.5</v>
      </c>
      <c r="U76" s="177">
        <f t="shared" si="176"/>
        <v>2229.3000000000002</v>
      </c>
      <c r="V76" s="178">
        <f>RCFs!$C$9</f>
        <v>14.218</v>
      </c>
      <c r="W76" s="177">
        <f t="shared" si="177"/>
        <v>2229.3000000000002</v>
      </c>
      <c r="X76" s="178">
        <f t="shared" si="178"/>
        <v>14.218</v>
      </c>
      <c r="Y76" s="179">
        <f t="shared" si="164"/>
        <v>2452.3000000000002</v>
      </c>
      <c r="Z76" s="179">
        <f t="shared" si="164"/>
        <v>3054.3</v>
      </c>
      <c r="AA76" s="179">
        <f t="shared" si="164"/>
        <v>3611.6</v>
      </c>
      <c r="AB76" s="179">
        <f t="shared" si="164"/>
        <v>3277.2</v>
      </c>
      <c r="AC76" s="179">
        <f t="shared" si="164"/>
        <v>4837.8</v>
      </c>
      <c r="AD76" s="179">
        <f t="shared" si="164"/>
        <v>6688.1</v>
      </c>
      <c r="AE76" s="177">
        <f t="shared" si="165"/>
        <v>2265.8000000000002</v>
      </c>
      <c r="AF76" s="178">
        <f>RCFs!C$13</f>
        <v>14.45</v>
      </c>
      <c r="AG76" s="179">
        <f t="shared" si="166"/>
        <v>3738.6</v>
      </c>
      <c r="AH76" s="179">
        <f t="shared" si="166"/>
        <v>4758.2</v>
      </c>
      <c r="AI76" s="179">
        <f t="shared" si="166"/>
        <v>6797.4</v>
      </c>
      <c r="AJ76" s="177">
        <f t="shared" si="167"/>
        <v>2221</v>
      </c>
      <c r="AK76" s="178">
        <f>RCFs!C$24</f>
        <v>14.164285714285715</v>
      </c>
      <c r="AL76" s="177">
        <f t="shared" si="168"/>
        <v>2996</v>
      </c>
      <c r="AM76" s="178">
        <f>RCFs!$C$28</f>
        <v>19.107142857142858</v>
      </c>
      <c r="AN76" s="177">
        <f t="shared" si="169"/>
        <v>2386.4</v>
      </c>
      <c r="AO76" s="178">
        <f>RCFs!C$33</f>
        <v>15.22</v>
      </c>
      <c r="AP76" s="179">
        <f t="shared" si="170"/>
        <v>3579.6</v>
      </c>
      <c r="AQ76" s="180">
        <f t="shared" si="171"/>
        <v>2389.6</v>
      </c>
      <c r="AR76" s="178">
        <f>RCFs!$C$35</f>
        <v>15.24</v>
      </c>
      <c r="AS76" s="179">
        <f t="shared" si="172"/>
        <v>3106.4</v>
      </c>
      <c r="AT76" s="179">
        <f t="shared" si="172"/>
        <v>3464.9</v>
      </c>
      <c r="AU76" s="47">
        <v>2008.7</v>
      </c>
      <c r="AV76" s="44">
        <f t="shared" si="173"/>
        <v>12.810586734693876</v>
      </c>
      <c r="AW76" s="177">
        <f t="shared" si="179"/>
        <v>2395.6</v>
      </c>
      <c r="AX76" s="178">
        <f>RCFs!C$39</f>
        <v>15.278571428571428</v>
      </c>
      <c r="AY76" s="177">
        <f t="shared" si="180"/>
        <v>2309.6</v>
      </c>
      <c r="AZ76" s="178">
        <f>RCFs!$C$41</f>
        <v>14.73</v>
      </c>
    </row>
    <row r="77" spans="1:52" s="72" customFormat="1" x14ac:dyDescent="0.2">
      <c r="A77" s="70">
        <v>2609</v>
      </c>
      <c r="B77" s="71" t="s">
        <v>156</v>
      </c>
      <c r="C77" s="47">
        <v>107.9</v>
      </c>
      <c r="D77" s="47">
        <f t="shared" si="155"/>
        <v>5753.7</v>
      </c>
      <c r="E77" s="120">
        <f>RCFs!$C$43</f>
        <v>53.323999999999998</v>
      </c>
      <c r="F77" s="177">
        <f t="shared" si="156"/>
        <v>1583</v>
      </c>
      <c r="G77" s="178">
        <f>RCFs!$C$5</f>
        <v>14.670999999999999</v>
      </c>
      <c r="H77" s="177">
        <f t="shared" si="157"/>
        <v>1583</v>
      </c>
      <c r="I77" s="178">
        <f>RCFs!$C$5</f>
        <v>14.670999999999999</v>
      </c>
      <c r="J77" s="179">
        <f t="shared" si="158"/>
        <v>1741.3</v>
      </c>
      <c r="K77" s="179">
        <f t="shared" si="158"/>
        <v>2168.6999999999998</v>
      </c>
      <c r="L77" s="179">
        <f t="shared" si="158"/>
        <v>2327</v>
      </c>
      <c r="M77" s="179">
        <f t="shared" si="158"/>
        <v>2564.5</v>
      </c>
      <c r="N77" s="179">
        <f t="shared" si="158"/>
        <v>3166</v>
      </c>
      <c r="O77" s="179">
        <f t="shared" si="158"/>
        <v>3403.5</v>
      </c>
      <c r="P77" s="179">
        <f t="shared" si="158"/>
        <v>4749</v>
      </c>
      <c r="Q77" s="177">
        <f t="shared" si="159"/>
        <v>1555.9</v>
      </c>
      <c r="R77" s="178">
        <f>RCFs!$C$7</f>
        <v>14.42</v>
      </c>
      <c r="S77" s="179">
        <f t="shared" si="160"/>
        <v>2022.6</v>
      </c>
      <c r="T77" s="179">
        <f t="shared" si="160"/>
        <v>2333.8000000000002</v>
      </c>
      <c r="U77" s="177">
        <f t="shared" si="176"/>
        <v>1534.1</v>
      </c>
      <c r="V77" s="178">
        <f>RCFs!$C$9</f>
        <v>14.218</v>
      </c>
      <c r="W77" s="177">
        <f t="shared" si="177"/>
        <v>1534.1</v>
      </c>
      <c r="X77" s="178">
        <f t="shared" si="178"/>
        <v>14.218</v>
      </c>
      <c r="Y77" s="179">
        <f t="shared" si="164"/>
        <v>1687.5</v>
      </c>
      <c r="Z77" s="179">
        <f t="shared" si="164"/>
        <v>2101.6999999999998</v>
      </c>
      <c r="AA77" s="179">
        <f t="shared" si="164"/>
        <v>2485.3000000000002</v>
      </c>
      <c r="AB77" s="179">
        <f t="shared" si="164"/>
        <v>2255.1999999999998</v>
      </c>
      <c r="AC77" s="179">
        <f t="shared" si="164"/>
        <v>3329</v>
      </c>
      <c r="AD77" s="179">
        <f t="shared" si="164"/>
        <v>4602.3999999999996</v>
      </c>
      <c r="AE77" s="177">
        <f t="shared" si="165"/>
        <v>1559.2</v>
      </c>
      <c r="AF77" s="178">
        <f>RCFs!C$13</f>
        <v>14.45</v>
      </c>
      <c r="AG77" s="179">
        <f t="shared" si="166"/>
        <v>2572.6999999999998</v>
      </c>
      <c r="AH77" s="179">
        <f t="shared" si="166"/>
        <v>3274.3</v>
      </c>
      <c r="AI77" s="179">
        <f t="shared" si="166"/>
        <v>4677.6000000000004</v>
      </c>
      <c r="AJ77" s="177">
        <f t="shared" si="167"/>
        <v>1528.3</v>
      </c>
      <c r="AK77" s="178">
        <f>RCFs!C$24</f>
        <v>14.164285714285715</v>
      </c>
      <c r="AL77" s="177">
        <f t="shared" si="168"/>
        <v>2061.6999999999998</v>
      </c>
      <c r="AM77" s="178">
        <f>RCFs!$C$28</f>
        <v>19.107142857142858</v>
      </c>
      <c r="AN77" s="177">
        <f t="shared" si="169"/>
        <v>1642.2</v>
      </c>
      <c r="AO77" s="178">
        <f>RCFs!C$33</f>
        <v>15.22</v>
      </c>
      <c r="AP77" s="179">
        <f t="shared" si="170"/>
        <v>2463.3000000000002</v>
      </c>
      <c r="AQ77" s="180">
        <f t="shared" si="171"/>
        <v>1644.3</v>
      </c>
      <c r="AR77" s="178">
        <f>RCFs!$C$35</f>
        <v>15.24</v>
      </c>
      <c r="AS77" s="179">
        <f t="shared" si="172"/>
        <v>2137.5</v>
      </c>
      <c r="AT77" s="179">
        <f t="shared" si="172"/>
        <v>2384.1999999999998</v>
      </c>
      <c r="AU77" s="47">
        <v>1382.2</v>
      </c>
      <c r="AV77" s="44">
        <f t="shared" si="173"/>
        <v>12.810009267840593</v>
      </c>
      <c r="AW77" s="177">
        <f t="shared" si="179"/>
        <v>1648.5</v>
      </c>
      <c r="AX77" s="178">
        <f>RCFs!C$39</f>
        <v>15.278571428571428</v>
      </c>
      <c r="AY77" s="177">
        <f t="shared" si="180"/>
        <v>1589.3</v>
      </c>
      <c r="AZ77" s="178">
        <f>RCFs!$C$41</f>
        <v>14.73</v>
      </c>
    </row>
    <row r="78" spans="1:52" s="72" customFormat="1" x14ac:dyDescent="0.2">
      <c r="A78" s="70">
        <v>2611</v>
      </c>
      <c r="B78" s="71" t="s">
        <v>157</v>
      </c>
      <c r="C78" s="47">
        <v>39.9</v>
      </c>
      <c r="D78" s="47">
        <f t="shared" si="155"/>
        <v>2127.6</v>
      </c>
      <c r="E78" s="120">
        <f>RCFs!$C$43</f>
        <v>53.323999999999998</v>
      </c>
      <c r="F78" s="177">
        <f t="shared" si="156"/>
        <v>585.4</v>
      </c>
      <c r="G78" s="178">
        <f>RCFs!$C$5</f>
        <v>14.670999999999999</v>
      </c>
      <c r="H78" s="177">
        <f t="shared" si="157"/>
        <v>585.4</v>
      </c>
      <c r="I78" s="178">
        <f>RCFs!$C$5</f>
        <v>14.670999999999999</v>
      </c>
      <c r="J78" s="179">
        <f t="shared" si="158"/>
        <v>643.9</v>
      </c>
      <c r="K78" s="179">
        <f t="shared" si="158"/>
        <v>802</v>
      </c>
      <c r="L78" s="179">
        <f t="shared" si="158"/>
        <v>860.5</v>
      </c>
      <c r="M78" s="179">
        <f t="shared" si="158"/>
        <v>948.3</v>
      </c>
      <c r="N78" s="179">
        <f t="shared" si="158"/>
        <v>1170.7</v>
      </c>
      <c r="O78" s="179">
        <f t="shared" si="158"/>
        <v>1258.5999999999999</v>
      </c>
      <c r="P78" s="179">
        <f t="shared" si="158"/>
        <v>1756.1</v>
      </c>
      <c r="Q78" s="177">
        <f t="shared" si="159"/>
        <v>575.29999999999995</v>
      </c>
      <c r="R78" s="178">
        <f>RCFs!$C$7</f>
        <v>14.42</v>
      </c>
      <c r="S78" s="179">
        <f t="shared" si="160"/>
        <v>747.8</v>
      </c>
      <c r="T78" s="179">
        <f t="shared" si="160"/>
        <v>862.9</v>
      </c>
      <c r="U78" s="177">
        <f t="shared" si="176"/>
        <v>567.20000000000005</v>
      </c>
      <c r="V78" s="178">
        <f>RCFs!$C$9</f>
        <v>14.218</v>
      </c>
      <c r="W78" s="177">
        <f t="shared" si="177"/>
        <v>567.20000000000005</v>
      </c>
      <c r="X78" s="178">
        <f t="shared" si="178"/>
        <v>14.218</v>
      </c>
      <c r="Y78" s="179">
        <f t="shared" si="164"/>
        <v>624</v>
      </c>
      <c r="Z78" s="179">
        <f t="shared" si="164"/>
        <v>777.2</v>
      </c>
      <c r="AA78" s="179">
        <f t="shared" si="164"/>
        <v>919</v>
      </c>
      <c r="AB78" s="179">
        <f t="shared" si="164"/>
        <v>833.9</v>
      </c>
      <c r="AC78" s="179">
        <f t="shared" si="164"/>
        <v>1231</v>
      </c>
      <c r="AD78" s="179">
        <f t="shared" si="164"/>
        <v>1701.9</v>
      </c>
      <c r="AE78" s="177">
        <f t="shared" si="165"/>
        <v>576.6</v>
      </c>
      <c r="AF78" s="178">
        <f>RCFs!C$13</f>
        <v>14.45</v>
      </c>
      <c r="AG78" s="179">
        <f t="shared" si="166"/>
        <v>951.4</v>
      </c>
      <c r="AH78" s="179">
        <f t="shared" si="166"/>
        <v>1210.9000000000001</v>
      </c>
      <c r="AI78" s="179">
        <f t="shared" si="166"/>
        <v>1729.8</v>
      </c>
      <c r="AJ78" s="177">
        <f t="shared" si="167"/>
        <v>565.20000000000005</v>
      </c>
      <c r="AK78" s="178">
        <f>RCFs!C$24</f>
        <v>14.164285714285715</v>
      </c>
      <c r="AL78" s="177">
        <f t="shared" si="168"/>
        <v>762.4</v>
      </c>
      <c r="AM78" s="178">
        <f>RCFs!$C$28</f>
        <v>19.107142857142858</v>
      </c>
      <c r="AN78" s="177">
        <f t="shared" si="169"/>
        <v>607.20000000000005</v>
      </c>
      <c r="AO78" s="178">
        <f>RCFs!C$33</f>
        <v>15.22</v>
      </c>
      <c r="AP78" s="179">
        <f t="shared" si="170"/>
        <v>910.8</v>
      </c>
      <c r="AQ78" s="180">
        <f t="shared" si="171"/>
        <v>608</v>
      </c>
      <c r="AR78" s="178">
        <f>RCFs!$C$35</f>
        <v>15.24</v>
      </c>
      <c r="AS78" s="179">
        <f t="shared" si="172"/>
        <v>790.4</v>
      </c>
      <c r="AT78" s="179">
        <f t="shared" si="172"/>
        <v>881.6</v>
      </c>
      <c r="AU78" s="47">
        <v>511.1</v>
      </c>
      <c r="AV78" s="44">
        <f t="shared" si="173"/>
        <v>12.80952380952381</v>
      </c>
      <c r="AW78" s="177">
        <f t="shared" si="179"/>
        <v>609.6</v>
      </c>
      <c r="AX78" s="178">
        <f>RCFs!C$39</f>
        <v>15.278571428571428</v>
      </c>
      <c r="AY78" s="177">
        <f t="shared" si="180"/>
        <v>587.70000000000005</v>
      </c>
      <c r="AZ78" s="178">
        <f>RCFs!$C$41</f>
        <v>14.73</v>
      </c>
    </row>
    <row r="79" spans="1:52" s="72" customFormat="1" ht="25.5" x14ac:dyDescent="0.2">
      <c r="A79" s="70">
        <v>2612</v>
      </c>
      <c r="B79" s="71" t="s">
        <v>159</v>
      </c>
      <c r="C79" s="47">
        <v>93.3</v>
      </c>
      <c r="D79" s="47">
        <f t="shared" si="155"/>
        <v>4975.1000000000004</v>
      </c>
      <c r="E79" s="120">
        <f>RCFs!$C$43</f>
        <v>53.323999999999998</v>
      </c>
      <c r="F79" s="177">
        <f t="shared" si="156"/>
        <v>1368.8</v>
      </c>
      <c r="G79" s="178">
        <f>RCFs!$C$5</f>
        <v>14.670999999999999</v>
      </c>
      <c r="H79" s="177">
        <f t="shared" si="157"/>
        <v>1368.8</v>
      </c>
      <c r="I79" s="178">
        <f>RCFs!$C$5</f>
        <v>14.670999999999999</v>
      </c>
      <c r="J79" s="179">
        <f t="shared" si="158"/>
        <v>1505.7</v>
      </c>
      <c r="K79" s="179">
        <f t="shared" si="158"/>
        <v>1875.3</v>
      </c>
      <c r="L79" s="179">
        <f t="shared" si="158"/>
        <v>2012.1</v>
      </c>
      <c r="M79" s="179">
        <f t="shared" si="158"/>
        <v>2217.5</v>
      </c>
      <c r="N79" s="179">
        <f t="shared" si="158"/>
        <v>2737.6</v>
      </c>
      <c r="O79" s="179">
        <f t="shared" si="158"/>
        <v>2942.9</v>
      </c>
      <c r="P79" s="179">
        <f t="shared" si="158"/>
        <v>4106.3999999999996</v>
      </c>
      <c r="Q79" s="177">
        <f t="shared" si="159"/>
        <v>1345.3</v>
      </c>
      <c r="R79" s="178">
        <f>RCFs!$C$7</f>
        <v>14.42</v>
      </c>
      <c r="S79" s="179">
        <f t="shared" si="160"/>
        <v>1748.8</v>
      </c>
      <c r="T79" s="179">
        <f t="shared" si="160"/>
        <v>2017.9</v>
      </c>
      <c r="U79" s="177">
        <f t="shared" si="176"/>
        <v>1326.5</v>
      </c>
      <c r="V79" s="178">
        <f>RCFs!$C$9</f>
        <v>14.218</v>
      </c>
      <c r="W79" s="177">
        <f t="shared" si="177"/>
        <v>1326.5</v>
      </c>
      <c r="X79" s="178">
        <f t="shared" si="178"/>
        <v>14.218</v>
      </c>
      <c r="Y79" s="179">
        <f t="shared" si="164"/>
        <v>1459.2</v>
      </c>
      <c r="Z79" s="179">
        <f t="shared" si="164"/>
        <v>1817.4</v>
      </c>
      <c r="AA79" s="179">
        <f t="shared" si="164"/>
        <v>2149</v>
      </c>
      <c r="AB79" s="179">
        <f t="shared" si="164"/>
        <v>1950</v>
      </c>
      <c r="AC79" s="179">
        <f t="shared" si="164"/>
        <v>2878.6</v>
      </c>
      <c r="AD79" s="179">
        <f t="shared" si="164"/>
        <v>3979.6</v>
      </c>
      <c r="AE79" s="177">
        <f t="shared" si="165"/>
        <v>1348.2</v>
      </c>
      <c r="AF79" s="178">
        <f>RCFs!C$13</f>
        <v>14.45</v>
      </c>
      <c r="AG79" s="179">
        <f t="shared" si="166"/>
        <v>2224.5</v>
      </c>
      <c r="AH79" s="179">
        <f t="shared" si="166"/>
        <v>2831.2</v>
      </c>
      <c r="AI79" s="179">
        <f t="shared" si="166"/>
        <v>4044.6</v>
      </c>
      <c r="AJ79" s="177">
        <f t="shared" si="167"/>
        <v>1321.5</v>
      </c>
      <c r="AK79" s="178">
        <f>RCFs!C$24</f>
        <v>14.164285714285715</v>
      </c>
      <c r="AL79" s="177">
        <f t="shared" si="168"/>
        <v>1782.7</v>
      </c>
      <c r="AM79" s="178">
        <f>RCFs!$C$28</f>
        <v>19.107142857142858</v>
      </c>
      <c r="AN79" s="177">
        <f t="shared" si="169"/>
        <v>1420</v>
      </c>
      <c r="AO79" s="178">
        <f>RCFs!C$33</f>
        <v>15.22</v>
      </c>
      <c r="AP79" s="179">
        <f t="shared" si="170"/>
        <v>2130</v>
      </c>
      <c r="AQ79" s="180">
        <f t="shared" si="171"/>
        <v>1421.8</v>
      </c>
      <c r="AR79" s="178">
        <f>RCFs!$C$35</f>
        <v>15.24</v>
      </c>
      <c r="AS79" s="179">
        <f t="shared" si="172"/>
        <v>1848.3</v>
      </c>
      <c r="AT79" s="179">
        <f t="shared" si="172"/>
        <v>2061.6</v>
      </c>
      <c r="AU79" s="47">
        <v>1195.2</v>
      </c>
      <c r="AV79" s="44">
        <f t="shared" si="173"/>
        <v>12.810289389067526</v>
      </c>
      <c r="AW79" s="177">
        <f t="shared" si="179"/>
        <v>1425.4</v>
      </c>
      <c r="AX79" s="178">
        <f>RCFs!C$39</f>
        <v>15.278571428571428</v>
      </c>
      <c r="AY79" s="177">
        <f t="shared" si="180"/>
        <v>1374.3</v>
      </c>
      <c r="AZ79" s="178">
        <f>RCFs!$C$41</f>
        <v>14.73</v>
      </c>
    </row>
    <row r="80" spans="1:52" s="72" customFormat="1" x14ac:dyDescent="0.2">
      <c r="A80" s="70">
        <v>2613</v>
      </c>
      <c r="B80" s="71" t="s">
        <v>160</v>
      </c>
      <c r="C80" s="47">
        <v>156.80000000000001</v>
      </c>
      <c r="D80" s="47">
        <f t="shared" si="155"/>
        <v>8361.2000000000007</v>
      </c>
      <c r="E80" s="120">
        <f>RCFs!$C$43</f>
        <v>53.323999999999998</v>
      </c>
      <c r="F80" s="177">
        <f t="shared" si="156"/>
        <v>2300.4</v>
      </c>
      <c r="G80" s="178">
        <f>RCFs!$C$5</f>
        <v>14.670999999999999</v>
      </c>
      <c r="H80" s="177">
        <f t="shared" si="157"/>
        <v>2300.4</v>
      </c>
      <c r="I80" s="178">
        <f>RCFs!$C$5</f>
        <v>14.670999999999999</v>
      </c>
      <c r="J80" s="179">
        <f t="shared" si="158"/>
        <v>2530.5</v>
      </c>
      <c r="K80" s="179">
        <f t="shared" si="158"/>
        <v>3151.6</v>
      </c>
      <c r="L80" s="179">
        <f t="shared" si="158"/>
        <v>3381.6</v>
      </c>
      <c r="M80" s="179">
        <f t="shared" si="158"/>
        <v>3726.7</v>
      </c>
      <c r="N80" s="179">
        <f t="shared" si="158"/>
        <v>4600.8</v>
      </c>
      <c r="O80" s="179">
        <f t="shared" si="158"/>
        <v>4945.8999999999996</v>
      </c>
      <c r="P80" s="179">
        <f t="shared" si="158"/>
        <v>6901.2</v>
      </c>
      <c r="Q80" s="177">
        <f t="shared" si="159"/>
        <v>2261</v>
      </c>
      <c r="R80" s="178">
        <f>RCFs!$C$7</f>
        <v>14.42</v>
      </c>
      <c r="S80" s="179">
        <f t="shared" si="160"/>
        <v>2939.3</v>
      </c>
      <c r="T80" s="179">
        <f t="shared" si="160"/>
        <v>3391.5</v>
      </c>
      <c r="U80" s="177">
        <f t="shared" si="176"/>
        <v>2229.3000000000002</v>
      </c>
      <c r="V80" s="178">
        <f>RCFs!$C$9</f>
        <v>14.218</v>
      </c>
      <c r="W80" s="177">
        <f t="shared" si="177"/>
        <v>2229.3000000000002</v>
      </c>
      <c r="X80" s="178">
        <f t="shared" si="178"/>
        <v>14.218</v>
      </c>
      <c r="Y80" s="179">
        <f t="shared" si="164"/>
        <v>2452.3000000000002</v>
      </c>
      <c r="Z80" s="179">
        <f t="shared" si="164"/>
        <v>3054.3</v>
      </c>
      <c r="AA80" s="179">
        <f t="shared" si="164"/>
        <v>3611.6</v>
      </c>
      <c r="AB80" s="179">
        <f t="shared" si="164"/>
        <v>3277.2</v>
      </c>
      <c r="AC80" s="179">
        <f t="shared" si="164"/>
        <v>4837.8</v>
      </c>
      <c r="AD80" s="179">
        <f t="shared" si="164"/>
        <v>6688.1</v>
      </c>
      <c r="AE80" s="177">
        <f t="shared" si="165"/>
        <v>2265.8000000000002</v>
      </c>
      <c r="AF80" s="178">
        <f>RCFs!C$13</f>
        <v>14.45</v>
      </c>
      <c r="AG80" s="179">
        <f t="shared" si="166"/>
        <v>3738.6</v>
      </c>
      <c r="AH80" s="179">
        <f t="shared" si="166"/>
        <v>4758.2</v>
      </c>
      <c r="AI80" s="179">
        <f t="shared" si="166"/>
        <v>6797.4</v>
      </c>
      <c r="AJ80" s="177">
        <f t="shared" si="167"/>
        <v>2221</v>
      </c>
      <c r="AK80" s="178">
        <f>RCFs!C$24</f>
        <v>14.164285714285715</v>
      </c>
      <c r="AL80" s="177">
        <f t="shared" si="168"/>
        <v>2996</v>
      </c>
      <c r="AM80" s="178">
        <f>RCFs!$C$28</f>
        <v>19.107142857142858</v>
      </c>
      <c r="AN80" s="177">
        <f t="shared" si="169"/>
        <v>2386.4</v>
      </c>
      <c r="AO80" s="178">
        <f>RCFs!C$33</f>
        <v>15.22</v>
      </c>
      <c r="AP80" s="179">
        <f t="shared" si="170"/>
        <v>3579.6</v>
      </c>
      <c r="AQ80" s="180">
        <f t="shared" si="171"/>
        <v>2389.6</v>
      </c>
      <c r="AR80" s="178">
        <f>RCFs!$C$35</f>
        <v>15.24</v>
      </c>
      <c r="AS80" s="179">
        <f t="shared" si="172"/>
        <v>3106.4</v>
      </c>
      <c r="AT80" s="179">
        <f t="shared" si="172"/>
        <v>3464.9</v>
      </c>
      <c r="AU80" s="47">
        <v>2008.7</v>
      </c>
      <c r="AV80" s="44">
        <f t="shared" si="173"/>
        <v>12.810586734693876</v>
      </c>
      <c r="AW80" s="177">
        <f t="shared" si="179"/>
        <v>2395.6</v>
      </c>
      <c r="AX80" s="178">
        <f>RCFs!C$39</f>
        <v>15.278571428571428</v>
      </c>
      <c r="AY80" s="177">
        <f t="shared" si="180"/>
        <v>2309.6</v>
      </c>
      <c r="AZ80" s="178">
        <f>RCFs!$C$41</f>
        <v>14.73</v>
      </c>
    </row>
    <row r="81" spans="1:52" s="72" customFormat="1" x14ac:dyDescent="0.2">
      <c r="A81" s="166"/>
      <c r="B81" s="167"/>
      <c r="C81" s="168"/>
      <c r="D81" s="168"/>
      <c r="E81" s="169"/>
      <c r="F81" s="168"/>
      <c r="G81" s="170"/>
      <c r="H81" s="168"/>
      <c r="I81" s="170"/>
      <c r="J81" s="171"/>
      <c r="K81" s="171"/>
      <c r="L81" s="171"/>
      <c r="M81" s="171"/>
      <c r="N81" s="171"/>
      <c r="O81" s="171"/>
      <c r="P81" s="171"/>
      <c r="Q81" s="168"/>
      <c r="R81" s="170"/>
      <c r="S81" s="171"/>
      <c r="T81" s="171"/>
      <c r="U81" s="168"/>
      <c r="V81" s="170"/>
      <c r="W81" s="168"/>
      <c r="X81" s="170"/>
      <c r="Y81" s="171"/>
      <c r="Z81" s="171"/>
      <c r="AA81" s="171"/>
      <c r="AB81" s="171"/>
      <c r="AC81" s="171"/>
      <c r="AD81" s="171"/>
      <c r="AE81" s="168"/>
      <c r="AF81" s="170"/>
      <c r="AG81" s="171"/>
      <c r="AH81" s="171"/>
      <c r="AI81" s="171"/>
      <c r="AJ81" s="168"/>
      <c r="AK81" s="170"/>
      <c r="AL81" s="168"/>
      <c r="AM81" s="170"/>
      <c r="AN81" s="168"/>
      <c r="AO81" s="170"/>
      <c r="AP81" s="171"/>
      <c r="AQ81" s="168"/>
      <c r="AR81" s="170"/>
      <c r="AS81" s="171"/>
      <c r="AT81" s="171"/>
      <c r="AU81" s="168"/>
      <c r="AV81" s="170"/>
      <c r="AW81" s="168"/>
      <c r="AX81" s="170"/>
      <c r="AY81" s="168"/>
      <c r="AZ81" s="170"/>
    </row>
    <row r="82" spans="1:52" x14ac:dyDescent="0.2">
      <c r="A82" s="251" t="s">
        <v>99</v>
      </c>
      <c r="B82" s="86"/>
      <c r="C82" s="87"/>
      <c r="D82" s="88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8"/>
      <c r="V82" s="89"/>
      <c r="W82" s="88"/>
      <c r="X82" s="89"/>
      <c r="Y82" s="86"/>
      <c r="Z82" s="86"/>
      <c r="AA82" s="86"/>
      <c r="AB82" s="86"/>
      <c r="AC82" s="86"/>
      <c r="AD82" s="86"/>
      <c r="AE82" s="88"/>
      <c r="AF82" s="89"/>
      <c r="AG82" s="89"/>
      <c r="AH82" s="89"/>
      <c r="AI82" s="89"/>
      <c r="AJ82" s="88"/>
      <c r="AK82" s="89"/>
      <c r="AL82" s="88"/>
      <c r="AM82" s="89"/>
      <c r="AN82" s="88"/>
      <c r="AO82" s="89"/>
      <c r="AP82" s="89"/>
      <c r="AQ82" s="88"/>
      <c r="AR82" s="89"/>
      <c r="AS82" s="89"/>
      <c r="AT82" s="89"/>
      <c r="AU82" s="88"/>
      <c r="AV82" s="89"/>
      <c r="AW82" s="88"/>
      <c r="AX82" s="89"/>
      <c r="AY82" s="89"/>
      <c r="AZ82" s="90"/>
    </row>
    <row r="83" spans="1:52" x14ac:dyDescent="0.2">
      <c r="A83" s="252" t="s">
        <v>113</v>
      </c>
      <c r="B83" s="253"/>
      <c r="C83" s="253"/>
      <c r="D83" s="253"/>
      <c r="E83" s="253"/>
      <c r="F83" s="254"/>
      <c r="G83" s="254"/>
      <c r="H83" s="254"/>
      <c r="I83" s="254"/>
      <c r="J83" s="255"/>
      <c r="K83" s="255"/>
      <c r="L83" s="255"/>
      <c r="M83" s="255"/>
      <c r="N83" s="255"/>
      <c r="O83" s="255"/>
      <c r="P83" s="255"/>
      <c r="Q83" s="254"/>
      <c r="R83" s="254"/>
      <c r="S83" s="255"/>
      <c r="T83" s="255"/>
      <c r="U83" s="254"/>
      <c r="V83" s="254"/>
      <c r="W83" s="254"/>
      <c r="X83" s="254"/>
      <c r="Y83" s="256"/>
      <c r="Z83" s="256"/>
      <c r="AA83" s="256"/>
      <c r="AB83" s="256"/>
      <c r="AC83" s="256"/>
      <c r="AD83" s="256"/>
      <c r="AE83" s="254"/>
      <c r="AF83" s="254"/>
      <c r="AG83" s="93"/>
      <c r="AH83" s="93"/>
      <c r="AI83" s="93"/>
      <c r="AJ83" s="254"/>
      <c r="AK83" s="254"/>
      <c r="AL83" s="254"/>
      <c r="AM83" s="254"/>
      <c r="AN83" s="128"/>
      <c r="AO83" s="254"/>
      <c r="AP83" s="93"/>
      <c r="AQ83" s="128"/>
      <c r="AR83" s="254"/>
      <c r="AS83" s="93"/>
      <c r="AT83" s="93"/>
      <c r="AU83" s="128"/>
      <c r="AV83" s="254"/>
      <c r="AW83" s="128"/>
      <c r="AX83" s="181"/>
      <c r="AY83" s="254"/>
      <c r="AZ83" s="129"/>
    </row>
    <row r="84" spans="1:52" x14ac:dyDescent="0.2">
      <c r="A84" s="130" t="s">
        <v>222</v>
      </c>
      <c r="B84" s="253"/>
      <c r="C84" s="253"/>
      <c r="D84" s="253"/>
      <c r="E84" s="253"/>
      <c r="F84" s="254"/>
      <c r="G84" s="254"/>
      <c r="H84" s="254"/>
      <c r="I84" s="254"/>
      <c r="J84" s="255"/>
      <c r="K84" s="255"/>
      <c r="L84" s="255"/>
      <c r="M84" s="255"/>
      <c r="N84" s="255"/>
      <c r="O84" s="255"/>
      <c r="P84" s="255"/>
      <c r="Q84" s="254"/>
      <c r="R84" s="254"/>
      <c r="S84" s="255"/>
      <c r="T84" s="255"/>
      <c r="U84" s="254"/>
      <c r="V84" s="254"/>
      <c r="W84" s="254"/>
      <c r="X84" s="254"/>
      <c r="Y84" s="256"/>
      <c r="Z84" s="256"/>
      <c r="AA84" s="256"/>
      <c r="AB84" s="256"/>
      <c r="AC84" s="256"/>
      <c r="AD84" s="256"/>
      <c r="AE84" s="254"/>
      <c r="AF84" s="254"/>
      <c r="AG84" s="93"/>
      <c r="AH84" s="93"/>
      <c r="AI84" s="93"/>
      <c r="AJ84" s="254"/>
      <c r="AK84" s="254"/>
      <c r="AL84" s="254"/>
      <c r="AM84" s="254"/>
      <c r="AN84" s="128"/>
      <c r="AO84" s="254"/>
      <c r="AP84" s="93"/>
      <c r="AQ84" s="128"/>
      <c r="AR84" s="254"/>
      <c r="AS84" s="93"/>
      <c r="AT84" s="93"/>
      <c r="AU84" s="128"/>
      <c r="AV84" s="254"/>
      <c r="AW84" s="128"/>
      <c r="AX84" s="181"/>
      <c r="AY84" s="254"/>
      <c r="AZ84" s="129"/>
    </row>
    <row r="85" spans="1:52" x14ac:dyDescent="0.2">
      <c r="A85" s="252" t="s">
        <v>108</v>
      </c>
      <c r="B85" s="254"/>
      <c r="C85" s="256"/>
      <c r="D85" s="92"/>
      <c r="E85" s="93"/>
      <c r="F85" s="93"/>
      <c r="G85" s="93"/>
      <c r="H85" s="93"/>
      <c r="I85" s="93"/>
      <c r="J85" s="255"/>
      <c r="K85" s="255"/>
      <c r="L85" s="255"/>
      <c r="M85" s="255"/>
      <c r="N85" s="255"/>
      <c r="O85" s="255"/>
      <c r="P85" s="255"/>
      <c r="Q85" s="93"/>
      <c r="R85" s="93"/>
      <c r="S85" s="255"/>
      <c r="T85" s="255"/>
      <c r="U85" s="92"/>
      <c r="V85" s="93"/>
      <c r="W85" s="92"/>
      <c r="X85" s="93"/>
      <c r="Y85" s="256"/>
      <c r="Z85" s="256"/>
      <c r="AA85" s="256"/>
      <c r="AB85" s="256"/>
      <c r="AC85" s="256"/>
      <c r="AD85" s="256"/>
      <c r="AE85" s="92"/>
      <c r="AF85" s="93"/>
      <c r="AG85" s="93"/>
      <c r="AH85" s="93"/>
      <c r="AI85" s="93"/>
      <c r="AJ85" s="92"/>
      <c r="AK85" s="93"/>
      <c r="AL85" s="92"/>
      <c r="AM85" s="93"/>
      <c r="AN85" s="92"/>
      <c r="AO85" s="93"/>
      <c r="AP85" s="93"/>
      <c r="AQ85" s="92"/>
      <c r="AR85" s="93"/>
      <c r="AS85" s="93"/>
      <c r="AT85" s="93"/>
      <c r="AU85" s="92"/>
      <c r="AV85" s="93"/>
      <c r="AW85" s="92"/>
      <c r="AX85" s="93"/>
      <c r="AY85" s="93"/>
      <c r="AZ85" s="94"/>
    </row>
    <row r="86" spans="1:52" x14ac:dyDescent="0.2">
      <c r="A86" s="252" t="s">
        <v>109</v>
      </c>
      <c r="B86" s="254"/>
      <c r="C86" s="256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2"/>
      <c r="V86" s="93"/>
      <c r="W86" s="92"/>
      <c r="X86" s="93"/>
      <c r="Y86" s="256"/>
      <c r="Z86" s="256"/>
      <c r="AA86" s="256"/>
      <c r="AB86" s="256"/>
      <c r="AC86" s="256"/>
      <c r="AD86" s="256"/>
      <c r="AE86" s="92"/>
      <c r="AF86" s="93"/>
      <c r="AG86" s="93"/>
      <c r="AH86" s="93"/>
      <c r="AI86" s="93"/>
      <c r="AJ86" s="92"/>
      <c r="AK86" s="93"/>
      <c r="AL86" s="92"/>
      <c r="AM86" s="93"/>
      <c r="AN86" s="92"/>
      <c r="AO86" s="93"/>
      <c r="AP86" s="93"/>
      <c r="AQ86" s="92"/>
      <c r="AR86" s="93"/>
      <c r="AS86" s="93"/>
      <c r="AT86" s="93"/>
      <c r="AU86" s="92"/>
      <c r="AV86" s="93"/>
      <c r="AW86" s="92"/>
      <c r="AX86" s="93"/>
      <c r="AY86" s="93"/>
      <c r="AZ86" s="94"/>
    </row>
    <row r="87" spans="1:52" x14ac:dyDescent="0.2">
      <c r="A87" s="252" t="s">
        <v>223</v>
      </c>
      <c r="B87" s="254"/>
      <c r="C87" s="256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2"/>
      <c r="V87" s="93"/>
      <c r="W87" s="92"/>
      <c r="X87" s="93"/>
      <c r="Y87" s="256"/>
      <c r="Z87" s="256"/>
      <c r="AA87" s="256"/>
      <c r="AB87" s="256"/>
      <c r="AC87" s="256"/>
      <c r="AD87" s="256"/>
      <c r="AE87" s="92"/>
      <c r="AF87" s="93"/>
      <c r="AG87" s="93"/>
      <c r="AH87" s="93"/>
      <c r="AI87" s="93"/>
      <c r="AJ87" s="92"/>
      <c r="AK87" s="93"/>
      <c r="AL87" s="92"/>
      <c r="AM87" s="93"/>
      <c r="AN87" s="92"/>
      <c r="AO87" s="93"/>
      <c r="AP87" s="93"/>
      <c r="AQ87" s="92"/>
      <c r="AR87" s="93"/>
      <c r="AS87" s="93"/>
      <c r="AT87" s="93"/>
      <c r="AU87" s="92"/>
      <c r="AV87" s="93"/>
      <c r="AW87" s="92"/>
      <c r="AX87" s="93"/>
      <c r="AY87" s="93"/>
      <c r="AZ87" s="94"/>
    </row>
    <row r="88" spans="1:52" x14ac:dyDescent="0.2">
      <c r="A88" s="252" t="s">
        <v>224</v>
      </c>
      <c r="B88" s="254"/>
      <c r="C88" s="256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2"/>
      <c r="V88" s="93"/>
      <c r="W88" s="92"/>
      <c r="X88" s="93"/>
      <c r="Y88" s="256"/>
      <c r="Z88" s="256"/>
      <c r="AA88" s="256"/>
      <c r="AB88" s="256"/>
      <c r="AC88" s="256"/>
      <c r="AD88" s="256"/>
      <c r="AE88" s="92"/>
      <c r="AF88" s="93"/>
      <c r="AG88" s="93"/>
      <c r="AH88" s="93"/>
      <c r="AI88" s="93"/>
      <c r="AJ88" s="92"/>
      <c r="AK88" s="93"/>
      <c r="AL88" s="92"/>
      <c r="AM88" s="93"/>
      <c r="AN88" s="93"/>
      <c r="AO88" s="93"/>
      <c r="AP88" s="93"/>
      <c r="AQ88" s="92"/>
      <c r="AR88" s="93"/>
      <c r="AS88" s="93"/>
      <c r="AT88" s="93"/>
      <c r="AU88" s="92"/>
      <c r="AV88" s="93"/>
      <c r="AW88" s="93"/>
      <c r="AX88" s="93"/>
      <c r="AY88" s="93"/>
      <c r="AZ88" s="94"/>
    </row>
    <row r="89" spans="1:52" x14ac:dyDescent="0.2">
      <c r="A89" s="252" t="s">
        <v>210</v>
      </c>
      <c r="B89" s="254"/>
      <c r="C89" s="256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2"/>
      <c r="V89" s="93"/>
      <c r="W89" s="92"/>
      <c r="X89" s="93"/>
      <c r="Y89" s="256"/>
      <c r="Z89" s="256"/>
      <c r="AA89" s="256"/>
      <c r="AB89" s="256"/>
      <c r="AC89" s="256"/>
      <c r="AD89" s="256"/>
      <c r="AE89" s="92"/>
      <c r="AF89" s="93"/>
      <c r="AG89" s="93"/>
      <c r="AH89" s="93"/>
      <c r="AI89" s="93"/>
      <c r="AJ89" s="92"/>
      <c r="AK89" s="93"/>
      <c r="AL89" s="92"/>
      <c r="AM89" s="93"/>
      <c r="AN89" s="93"/>
      <c r="AO89" s="93"/>
      <c r="AP89" s="93"/>
      <c r="AQ89" s="92"/>
      <c r="AR89" s="93"/>
      <c r="AS89" s="93"/>
      <c r="AT89" s="93"/>
      <c r="AU89" s="92"/>
      <c r="AV89" s="93"/>
      <c r="AW89" s="93"/>
      <c r="AX89" s="93"/>
      <c r="AY89" s="93"/>
      <c r="AZ89" s="94"/>
    </row>
    <row r="90" spans="1:52" x14ac:dyDescent="0.2">
      <c r="A90" s="257" t="s">
        <v>225</v>
      </c>
      <c r="B90" s="254"/>
      <c r="C90" s="256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2"/>
      <c r="V90" s="93"/>
      <c r="W90" s="92"/>
      <c r="X90" s="93"/>
      <c r="Y90" s="256"/>
      <c r="Z90" s="256"/>
      <c r="AA90" s="256"/>
      <c r="AB90" s="256"/>
      <c r="AC90" s="256"/>
      <c r="AD90" s="256"/>
      <c r="AE90" s="92"/>
      <c r="AF90" s="93"/>
      <c r="AG90" s="93"/>
      <c r="AH90" s="93"/>
      <c r="AI90" s="93"/>
      <c r="AJ90" s="92"/>
      <c r="AK90" s="93"/>
      <c r="AL90" s="92"/>
      <c r="AM90" s="93"/>
      <c r="AN90" s="93"/>
      <c r="AO90" s="93"/>
      <c r="AP90" s="93"/>
      <c r="AQ90" s="92"/>
      <c r="AR90" s="93"/>
      <c r="AS90" s="93"/>
      <c r="AT90" s="93"/>
      <c r="AU90" s="92"/>
      <c r="AV90" s="93"/>
      <c r="AW90" s="93"/>
      <c r="AX90" s="93"/>
      <c r="AY90" s="93"/>
      <c r="AZ90" s="94"/>
    </row>
    <row r="91" spans="1:52" x14ac:dyDescent="0.2">
      <c r="A91" s="252" t="s">
        <v>226</v>
      </c>
      <c r="B91" s="254"/>
      <c r="C91" s="256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2"/>
      <c r="V91" s="93"/>
      <c r="W91" s="92"/>
      <c r="X91" s="93"/>
      <c r="Y91" s="256"/>
      <c r="Z91" s="256"/>
      <c r="AA91" s="256"/>
      <c r="AB91" s="256"/>
      <c r="AC91" s="256"/>
      <c r="AD91" s="256"/>
      <c r="AE91" s="92"/>
      <c r="AF91" s="93"/>
      <c r="AG91" s="93"/>
      <c r="AH91" s="93"/>
      <c r="AI91" s="93"/>
      <c r="AJ91" s="92"/>
      <c r="AK91" s="93"/>
      <c r="AL91" s="92"/>
      <c r="AM91" s="93"/>
      <c r="AN91" s="93"/>
      <c r="AO91" s="93"/>
      <c r="AP91" s="93"/>
      <c r="AQ91" s="92"/>
      <c r="AR91" s="93"/>
      <c r="AS91" s="93"/>
      <c r="AT91" s="93"/>
      <c r="AU91" s="92"/>
      <c r="AV91" s="93"/>
      <c r="AW91" s="93"/>
      <c r="AX91" s="93"/>
      <c r="AY91" s="93"/>
      <c r="AZ91" s="94"/>
    </row>
    <row r="92" spans="1:52" x14ac:dyDescent="0.2">
      <c r="A92" s="257" t="s">
        <v>227</v>
      </c>
      <c r="B92" s="258"/>
      <c r="C92" s="259"/>
      <c r="D92" s="260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0"/>
      <c r="V92" s="261"/>
      <c r="W92" s="260"/>
      <c r="X92" s="261"/>
      <c r="Y92" s="259"/>
      <c r="Z92" s="259"/>
      <c r="AA92" s="259"/>
      <c r="AB92" s="259"/>
      <c r="AC92" s="259"/>
      <c r="AD92" s="259"/>
      <c r="AE92" s="260"/>
      <c r="AF92" s="261"/>
      <c r="AG92" s="261"/>
      <c r="AH92" s="261"/>
      <c r="AI92" s="261"/>
      <c r="AJ92" s="260"/>
      <c r="AK92" s="261"/>
      <c r="AL92" s="260"/>
      <c r="AM92" s="261"/>
      <c r="AN92" s="261"/>
      <c r="AO92" s="261"/>
      <c r="AP92" s="261"/>
      <c r="AQ92" s="260"/>
      <c r="AR92" s="261"/>
      <c r="AS92" s="261"/>
      <c r="AT92" s="261"/>
      <c r="AU92" s="260"/>
      <c r="AV92" s="261"/>
      <c r="AW92" s="261"/>
      <c r="AX92" s="261"/>
      <c r="AY92" s="261"/>
      <c r="AZ92" s="262"/>
    </row>
    <row r="93" spans="1:52" x14ac:dyDescent="0.2">
      <c r="A93" s="263" t="s">
        <v>208</v>
      </c>
      <c r="B93" s="254"/>
      <c r="C93" s="256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2"/>
      <c r="V93" s="93"/>
      <c r="W93" s="92"/>
      <c r="X93" s="93"/>
      <c r="Y93" s="256"/>
      <c r="Z93" s="256"/>
      <c r="AA93" s="256"/>
      <c r="AB93" s="256"/>
      <c r="AC93" s="256"/>
      <c r="AD93" s="256"/>
      <c r="AE93" s="92"/>
      <c r="AF93" s="93"/>
      <c r="AG93" s="93"/>
      <c r="AH93" s="93"/>
      <c r="AI93" s="93"/>
      <c r="AJ93" s="92"/>
      <c r="AK93" s="93"/>
      <c r="AL93" s="92"/>
      <c r="AM93" s="93"/>
      <c r="AN93" s="93"/>
      <c r="AO93" s="93"/>
      <c r="AP93" s="93"/>
      <c r="AQ93" s="92"/>
      <c r="AR93" s="93"/>
      <c r="AS93" s="93"/>
      <c r="AT93" s="93"/>
      <c r="AU93" s="92"/>
      <c r="AV93" s="93"/>
      <c r="AW93" s="93"/>
      <c r="AX93" s="93"/>
      <c r="AY93" s="93"/>
      <c r="AZ93" s="94"/>
    </row>
    <row r="94" spans="1:52" x14ac:dyDescent="0.2">
      <c r="A94" s="252" t="s">
        <v>112</v>
      </c>
      <c r="B94" s="254"/>
      <c r="C94" s="256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2"/>
      <c r="V94" s="93"/>
      <c r="W94" s="92"/>
      <c r="X94" s="93"/>
      <c r="Y94" s="256"/>
      <c r="Z94" s="256"/>
      <c r="AA94" s="256"/>
      <c r="AB94" s="256"/>
      <c r="AC94" s="256"/>
      <c r="AD94" s="256"/>
      <c r="AE94" s="92"/>
      <c r="AF94" s="93"/>
      <c r="AG94" s="93"/>
      <c r="AH94" s="93"/>
      <c r="AI94" s="93"/>
      <c r="AJ94" s="92"/>
      <c r="AK94" s="93"/>
      <c r="AL94" s="92"/>
      <c r="AM94" s="93"/>
      <c r="AN94" s="92"/>
      <c r="AO94" s="93"/>
      <c r="AP94" s="93"/>
      <c r="AQ94" s="92"/>
      <c r="AR94" s="93"/>
      <c r="AS94" s="93"/>
      <c r="AT94" s="93"/>
      <c r="AU94" s="92"/>
      <c r="AV94" s="93"/>
      <c r="AW94" s="92"/>
      <c r="AX94" s="93"/>
      <c r="AY94" s="93"/>
      <c r="AZ94" s="94"/>
    </row>
    <row r="95" spans="1:52" x14ac:dyDescent="0.2">
      <c r="A95" s="264" t="s">
        <v>114</v>
      </c>
      <c r="B95" s="265"/>
      <c r="C95" s="265"/>
      <c r="D95" s="96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6"/>
      <c r="V95" s="97"/>
      <c r="W95" s="96"/>
      <c r="X95" s="97"/>
      <c r="Y95" s="265"/>
      <c r="Z95" s="265"/>
      <c r="AA95" s="265"/>
      <c r="AB95" s="265"/>
      <c r="AC95" s="265"/>
      <c r="AD95" s="265"/>
      <c r="AE95" s="96"/>
      <c r="AF95" s="97"/>
      <c r="AG95" s="97"/>
      <c r="AH95" s="97"/>
      <c r="AI95" s="97"/>
      <c r="AJ95" s="96"/>
      <c r="AK95" s="97"/>
      <c r="AL95" s="96"/>
      <c r="AM95" s="97"/>
      <c r="AN95" s="96"/>
      <c r="AO95" s="97"/>
      <c r="AP95" s="97"/>
      <c r="AQ95" s="96"/>
      <c r="AR95" s="97"/>
      <c r="AS95" s="97"/>
      <c r="AT95" s="97"/>
      <c r="AU95" s="96"/>
      <c r="AV95" s="97"/>
      <c r="AW95" s="96"/>
      <c r="AX95" s="97"/>
      <c r="AY95" s="97"/>
      <c r="AZ95" s="98"/>
    </row>
    <row r="96" spans="1:52" x14ac:dyDescent="0.2">
      <c r="A96" s="252" t="s">
        <v>209</v>
      </c>
      <c r="B96" s="256"/>
      <c r="C96" s="256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2"/>
      <c r="V96" s="93"/>
      <c r="W96" s="92"/>
      <c r="X96" s="93"/>
      <c r="Y96" s="256"/>
      <c r="Z96" s="256"/>
      <c r="AA96" s="256"/>
      <c r="AB96" s="256"/>
      <c r="AC96" s="256"/>
      <c r="AD96" s="256"/>
      <c r="AE96" s="92"/>
      <c r="AF96" s="93"/>
      <c r="AG96" s="93"/>
      <c r="AH96" s="93"/>
      <c r="AI96" s="93"/>
      <c r="AJ96" s="92"/>
      <c r="AK96" s="93"/>
      <c r="AL96" s="92"/>
      <c r="AM96" s="93"/>
      <c r="AN96" s="92"/>
      <c r="AO96" s="93"/>
      <c r="AP96" s="93"/>
      <c r="AQ96" s="92"/>
      <c r="AR96" s="93"/>
      <c r="AS96" s="93"/>
      <c r="AT96" s="93"/>
      <c r="AU96" s="92"/>
      <c r="AV96" s="93"/>
      <c r="AW96" s="92"/>
      <c r="AX96" s="93"/>
      <c r="AY96" s="93"/>
      <c r="AZ96" s="94"/>
    </row>
    <row r="97" spans="1:52" x14ac:dyDescent="0.2">
      <c r="A97" s="266" t="s">
        <v>195</v>
      </c>
      <c r="B97" s="265"/>
      <c r="C97" s="265"/>
      <c r="D97" s="96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6"/>
      <c r="V97" s="97"/>
      <c r="W97" s="96"/>
      <c r="X97" s="97"/>
      <c r="Y97" s="265"/>
      <c r="Z97" s="265"/>
      <c r="AA97" s="265"/>
      <c r="AB97" s="265"/>
      <c r="AC97" s="265"/>
      <c r="AD97" s="265"/>
      <c r="AE97" s="96"/>
      <c r="AF97" s="97"/>
      <c r="AG97" s="97"/>
      <c r="AH97" s="97"/>
      <c r="AI97" s="97"/>
      <c r="AJ97" s="96"/>
      <c r="AK97" s="97"/>
      <c r="AL97" s="96"/>
      <c r="AM97" s="97"/>
      <c r="AN97" s="96"/>
      <c r="AO97" s="97"/>
      <c r="AP97" s="97"/>
      <c r="AQ97" s="96"/>
      <c r="AR97" s="97"/>
      <c r="AS97" s="97"/>
      <c r="AT97" s="97"/>
      <c r="AU97" s="96"/>
      <c r="AV97" s="97"/>
      <c r="AW97" s="96"/>
      <c r="AX97" s="97"/>
      <c r="AY97" s="97"/>
      <c r="AZ97" s="98"/>
    </row>
    <row r="98" spans="1:52" s="134" customFormat="1" x14ac:dyDescent="0.2">
      <c r="A98" s="267" t="s">
        <v>228</v>
      </c>
      <c r="B98" s="268"/>
      <c r="C98" s="268"/>
      <c r="D98" s="131"/>
      <c r="E98" s="132"/>
      <c r="F98" s="131"/>
      <c r="G98" s="132"/>
      <c r="H98" s="131"/>
      <c r="I98" s="132"/>
      <c r="J98" s="132"/>
      <c r="K98" s="132"/>
      <c r="L98" s="132"/>
      <c r="M98" s="132"/>
      <c r="N98" s="132"/>
      <c r="O98" s="132"/>
      <c r="P98" s="132"/>
      <c r="Q98" s="131"/>
      <c r="R98" s="132"/>
      <c r="S98" s="132"/>
      <c r="T98" s="132"/>
      <c r="U98" s="131"/>
      <c r="V98" s="132"/>
      <c r="W98" s="131"/>
      <c r="X98" s="132"/>
      <c r="Y98" s="268"/>
      <c r="Z98" s="268"/>
      <c r="AA98" s="268"/>
      <c r="AB98" s="268"/>
      <c r="AC98" s="268"/>
      <c r="AD98" s="268"/>
      <c r="AE98" s="131"/>
      <c r="AF98" s="132"/>
      <c r="AG98" s="132"/>
      <c r="AH98" s="132"/>
      <c r="AI98" s="132"/>
      <c r="AJ98" s="131"/>
      <c r="AK98" s="132"/>
      <c r="AL98" s="131"/>
      <c r="AM98" s="132"/>
      <c r="AN98" s="131"/>
      <c r="AO98" s="132"/>
      <c r="AP98" s="132"/>
      <c r="AQ98" s="131"/>
      <c r="AR98" s="132"/>
      <c r="AS98" s="132"/>
      <c r="AT98" s="132"/>
      <c r="AU98" s="131"/>
      <c r="AV98" s="132"/>
      <c r="AW98" s="131"/>
      <c r="AX98" s="132"/>
      <c r="AY98" s="132"/>
      <c r="AZ98" s="133"/>
    </row>
    <row r="99" spans="1:52" s="134" customFormat="1" x14ac:dyDescent="0.2">
      <c r="A99" s="269" t="s">
        <v>202</v>
      </c>
      <c r="B99" s="268"/>
      <c r="C99" s="268"/>
      <c r="D99" s="131"/>
      <c r="E99" s="132"/>
      <c r="F99" s="131"/>
      <c r="G99" s="132"/>
      <c r="H99" s="131"/>
      <c r="I99" s="132"/>
      <c r="J99" s="132"/>
      <c r="K99" s="132"/>
      <c r="L99" s="132"/>
      <c r="M99" s="132"/>
      <c r="N99" s="132"/>
      <c r="O99" s="132"/>
      <c r="P99" s="132"/>
      <c r="Q99" s="131"/>
      <c r="R99" s="132"/>
      <c r="S99" s="132"/>
      <c r="T99" s="132"/>
      <c r="U99" s="131"/>
      <c r="V99" s="132"/>
      <c r="W99" s="131"/>
      <c r="X99" s="132"/>
      <c r="Y99" s="268"/>
      <c r="Z99" s="268"/>
      <c r="AA99" s="268"/>
      <c r="AB99" s="268"/>
      <c r="AC99" s="268"/>
      <c r="AD99" s="268"/>
      <c r="AE99" s="131"/>
      <c r="AF99" s="132"/>
      <c r="AG99" s="132"/>
      <c r="AH99" s="132"/>
      <c r="AI99" s="132"/>
      <c r="AJ99" s="131"/>
      <c r="AK99" s="132"/>
      <c r="AL99" s="131"/>
      <c r="AM99" s="132"/>
      <c r="AN99" s="131"/>
      <c r="AO99" s="132"/>
      <c r="AP99" s="132"/>
      <c r="AQ99" s="131"/>
      <c r="AR99" s="132"/>
      <c r="AS99" s="132"/>
      <c r="AT99" s="132"/>
      <c r="AU99" s="131"/>
      <c r="AV99" s="132"/>
      <c r="AW99" s="131"/>
      <c r="AX99" s="132"/>
      <c r="AY99" s="132"/>
      <c r="AZ99" s="133"/>
    </row>
    <row r="100" spans="1:52" s="95" customFormat="1" x14ac:dyDescent="0.2">
      <c r="A100" s="264"/>
      <c r="B100" s="265"/>
      <c r="C100" s="265"/>
      <c r="D100" s="96"/>
      <c r="E100" s="97"/>
      <c r="F100" s="96"/>
      <c r="G100" s="97"/>
      <c r="H100" s="96"/>
      <c r="I100" s="97"/>
      <c r="J100" s="97"/>
      <c r="K100" s="97"/>
      <c r="L100" s="97"/>
      <c r="M100" s="97"/>
      <c r="N100" s="97"/>
      <c r="O100" s="97"/>
      <c r="P100" s="97"/>
      <c r="Q100" s="96"/>
      <c r="R100" s="97"/>
      <c r="S100" s="97"/>
      <c r="T100" s="97"/>
      <c r="U100" s="96"/>
      <c r="V100" s="97"/>
      <c r="W100" s="96"/>
      <c r="X100" s="97"/>
      <c r="Y100" s="265"/>
      <c r="Z100" s="265"/>
      <c r="AA100" s="265"/>
      <c r="AB100" s="265"/>
      <c r="AC100" s="265"/>
      <c r="AD100" s="265"/>
      <c r="AE100" s="96"/>
      <c r="AF100" s="97"/>
      <c r="AG100" s="97"/>
      <c r="AH100" s="97"/>
      <c r="AI100" s="97"/>
      <c r="AJ100" s="96"/>
      <c r="AK100" s="97"/>
      <c r="AL100" s="96"/>
      <c r="AM100" s="97"/>
      <c r="AN100" s="96"/>
      <c r="AO100" s="97"/>
      <c r="AP100" s="97"/>
      <c r="AQ100" s="96"/>
      <c r="AR100" s="97"/>
      <c r="AS100" s="97"/>
      <c r="AT100" s="97"/>
      <c r="AU100" s="96"/>
      <c r="AV100" s="97"/>
      <c r="AW100" s="96"/>
      <c r="AX100" s="97"/>
      <c r="AY100" s="97"/>
      <c r="AZ100" s="98"/>
    </row>
    <row r="101" spans="1:52" s="95" customFormat="1" x14ac:dyDescent="0.2">
      <c r="A101" s="99" t="s">
        <v>96</v>
      </c>
      <c r="B101" s="100"/>
      <c r="C101" s="101"/>
      <c r="D101" s="102"/>
      <c r="E101" s="103"/>
      <c r="F101" s="102"/>
      <c r="G101" s="103"/>
      <c r="H101" s="102"/>
      <c r="I101" s="103"/>
      <c r="J101" s="103"/>
      <c r="K101" s="103"/>
      <c r="L101" s="103"/>
      <c r="M101" s="103"/>
      <c r="N101" s="103"/>
      <c r="O101" s="103"/>
      <c r="P101" s="103"/>
      <c r="Q101" s="102"/>
      <c r="R101" s="103"/>
      <c r="S101" s="103"/>
      <c r="T101" s="103"/>
      <c r="U101" s="102"/>
      <c r="V101" s="103"/>
      <c r="W101" s="102"/>
      <c r="X101" s="103"/>
      <c r="Y101" s="100"/>
      <c r="Z101" s="100"/>
      <c r="AA101" s="100"/>
      <c r="AB101" s="100"/>
      <c r="AC101" s="100"/>
      <c r="AD101" s="100"/>
      <c r="AE101" s="102"/>
      <c r="AF101" s="103"/>
      <c r="AG101" s="103"/>
      <c r="AH101" s="103"/>
      <c r="AI101" s="103"/>
      <c r="AJ101" s="102"/>
      <c r="AK101" s="103"/>
      <c r="AL101" s="102"/>
      <c r="AM101" s="103"/>
      <c r="AN101" s="102"/>
      <c r="AO101" s="103"/>
      <c r="AP101" s="103"/>
      <c r="AQ101" s="102"/>
      <c r="AR101" s="103"/>
      <c r="AS101" s="103"/>
      <c r="AT101" s="103"/>
      <c r="AU101" s="102"/>
      <c r="AV101" s="103"/>
      <c r="AW101" s="102"/>
      <c r="AX101" s="103"/>
      <c r="AY101" s="103"/>
      <c r="AZ101" s="104"/>
    </row>
    <row r="102" spans="1:52" x14ac:dyDescent="0.2">
      <c r="A102" s="270" t="s">
        <v>100</v>
      </c>
      <c r="B102" s="271"/>
      <c r="C102" s="271"/>
      <c r="D102" s="271"/>
      <c r="E102" s="271"/>
      <c r="F102" s="105"/>
      <c r="G102" s="271"/>
      <c r="H102" s="105"/>
      <c r="I102" s="271"/>
      <c r="J102" s="271"/>
      <c r="K102" s="271"/>
      <c r="L102" s="271"/>
      <c r="M102" s="271"/>
      <c r="N102" s="271"/>
      <c r="O102" s="271"/>
      <c r="P102" s="271"/>
      <c r="Q102" s="105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2"/>
      <c r="AK102" s="271"/>
      <c r="AL102" s="272"/>
      <c r="AM102" s="271"/>
      <c r="AN102" s="105"/>
      <c r="AO102" s="271"/>
      <c r="AP102" s="271"/>
      <c r="AQ102" s="105"/>
      <c r="AR102" s="271"/>
      <c r="AS102" s="271"/>
      <c r="AT102" s="271"/>
      <c r="AU102" s="105"/>
      <c r="AV102" s="271"/>
      <c r="AW102" s="105"/>
      <c r="AX102" s="182"/>
      <c r="AY102" s="271"/>
      <c r="AZ102" s="106"/>
    </row>
    <row r="103" spans="1:52" x14ac:dyDescent="0.2">
      <c r="A103" s="176"/>
      <c r="B103" s="273"/>
      <c r="C103" s="172"/>
      <c r="D103" s="173"/>
      <c r="E103" s="174"/>
      <c r="F103" s="173"/>
      <c r="G103" s="174"/>
      <c r="H103" s="173"/>
      <c r="I103" s="174"/>
      <c r="J103" s="174"/>
      <c r="K103" s="174"/>
      <c r="L103" s="174"/>
      <c r="M103" s="174"/>
      <c r="N103" s="174"/>
      <c r="O103" s="174"/>
      <c r="P103" s="174"/>
      <c r="Q103" s="173"/>
      <c r="R103" s="174"/>
      <c r="S103" s="174"/>
      <c r="T103" s="174"/>
      <c r="U103" s="173"/>
      <c r="V103" s="174"/>
      <c r="W103" s="173"/>
      <c r="X103" s="174"/>
      <c r="Y103" s="273"/>
      <c r="Z103" s="273"/>
      <c r="AA103" s="273"/>
      <c r="AB103" s="273"/>
      <c r="AC103" s="273"/>
      <c r="AD103" s="273"/>
      <c r="AE103" s="173"/>
      <c r="AF103" s="174"/>
      <c r="AG103" s="174"/>
      <c r="AH103" s="174"/>
      <c r="AI103" s="174"/>
      <c r="AJ103" s="173"/>
      <c r="AK103" s="174"/>
      <c r="AL103" s="173"/>
      <c r="AM103" s="174"/>
      <c r="AN103" s="173"/>
      <c r="AO103" s="174"/>
      <c r="AP103" s="174"/>
      <c r="AQ103" s="173"/>
      <c r="AR103" s="174"/>
      <c r="AS103" s="174"/>
      <c r="AT103" s="174"/>
      <c r="AU103" s="173"/>
      <c r="AV103" s="174"/>
      <c r="AW103" s="173"/>
      <c r="AX103" s="174"/>
      <c r="AY103" s="174"/>
      <c r="AZ103" s="175"/>
    </row>
    <row r="104" spans="1:52" x14ac:dyDescent="0.2">
      <c r="A104" s="99" t="s">
        <v>102</v>
      </c>
      <c r="B104" s="100"/>
      <c r="C104" s="101"/>
      <c r="D104" s="102"/>
      <c r="E104" s="103"/>
      <c r="F104" s="102"/>
      <c r="G104" s="103"/>
      <c r="H104" s="102"/>
      <c r="I104" s="103"/>
      <c r="J104" s="103"/>
      <c r="K104" s="103"/>
      <c r="L104" s="103"/>
      <c r="M104" s="103"/>
      <c r="N104" s="103"/>
      <c r="O104" s="103"/>
      <c r="P104" s="103"/>
      <c r="Q104" s="102"/>
      <c r="R104" s="103"/>
      <c r="S104" s="103"/>
      <c r="T104" s="103"/>
      <c r="U104" s="102"/>
      <c r="V104" s="103"/>
      <c r="W104" s="102"/>
      <c r="X104" s="103"/>
      <c r="Y104" s="100"/>
      <c r="Z104" s="100"/>
      <c r="AA104" s="100"/>
      <c r="AB104" s="100"/>
      <c r="AC104" s="100"/>
      <c r="AD104" s="100"/>
      <c r="AE104" s="102"/>
      <c r="AF104" s="103"/>
      <c r="AG104" s="103"/>
      <c r="AH104" s="103"/>
      <c r="AI104" s="103"/>
      <c r="AJ104" s="102"/>
      <c r="AK104" s="103"/>
      <c r="AL104" s="102"/>
      <c r="AM104" s="103"/>
      <c r="AN104" s="102"/>
      <c r="AO104" s="103"/>
      <c r="AP104" s="103"/>
      <c r="AQ104" s="102"/>
      <c r="AR104" s="103"/>
      <c r="AS104" s="103"/>
      <c r="AT104" s="103"/>
      <c r="AU104" s="102"/>
      <c r="AV104" s="103"/>
      <c r="AW104" s="102"/>
      <c r="AX104" s="103"/>
      <c r="AY104" s="103"/>
      <c r="AZ104" s="104"/>
    </row>
    <row r="105" spans="1:52" x14ac:dyDescent="0.2">
      <c r="A105" s="270" t="s">
        <v>103</v>
      </c>
      <c r="B105" s="271"/>
      <c r="C105" s="271"/>
      <c r="D105" s="271"/>
      <c r="E105" s="271"/>
      <c r="F105" s="105"/>
      <c r="G105" s="271"/>
      <c r="H105" s="105"/>
      <c r="I105" s="271"/>
      <c r="J105" s="271"/>
      <c r="K105" s="271"/>
      <c r="L105" s="271"/>
      <c r="M105" s="271"/>
      <c r="N105" s="271"/>
      <c r="O105" s="271"/>
      <c r="P105" s="271"/>
      <c r="Q105" s="105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2"/>
      <c r="AK105" s="271"/>
      <c r="AL105" s="272"/>
      <c r="AM105" s="271"/>
      <c r="AN105" s="105"/>
      <c r="AO105" s="271"/>
      <c r="AP105" s="271"/>
      <c r="AQ105" s="105"/>
      <c r="AR105" s="271"/>
      <c r="AS105" s="271"/>
      <c r="AT105" s="271"/>
      <c r="AU105" s="105"/>
      <c r="AV105" s="271"/>
      <c r="AW105" s="105"/>
      <c r="AX105" s="182"/>
      <c r="AY105" s="271"/>
      <c r="AZ105" s="106"/>
    </row>
    <row r="106" spans="1:52" x14ac:dyDescent="0.2">
      <c r="A106" s="270" t="s">
        <v>104</v>
      </c>
      <c r="B106" s="271"/>
      <c r="C106" s="271"/>
      <c r="D106" s="271"/>
      <c r="E106" s="271"/>
      <c r="F106" s="105"/>
      <c r="G106" s="271"/>
      <c r="H106" s="105"/>
      <c r="I106" s="271"/>
      <c r="J106" s="271"/>
      <c r="K106" s="271"/>
      <c r="L106" s="271"/>
      <c r="M106" s="271"/>
      <c r="N106" s="271"/>
      <c r="O106" s="271"/>
      <c r="P106" s="271"/>
      <c r="Q106" s="105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2"/>
      <c r="AK106" s="271"/>
      <c r="AL106" s="272"/>
      <c r="AM106" s="271"/>
      <c r="AN106" s="105"/>
      <c r="AO106" s="271"/>
      <c r="AP106" s="271"/>
      <c r="AQ106" s="105"/>
      <c r="AR106" s="271"/>
      <c r="AS106" s="271"/>
      <c r="AT106" s="271"/>
      <c r="AU106" s="105"/>
      <c r="AV106" s="271"/>
      <c r="AW106" s="105"/>
      <c r="AX106" s="182"/>
      <c r="AY106" s="271"/>
      <c r="AZ106" s="106"/>
    </row>
    <row r="107" spans="1:52" x14ac:dyDescent="0.2">
      <c r="A107" s="270" t="s">
        <v>105</v>
      </c>
      <c r="B107" s="271"/>
      <c r="C107" s="271"/>
      <c r="D107" s="271"/>
      <c r="E107" s="271"/>
      <c r="F107" s="105"/>
      <c r="G107" s="271"/>
      <c r="H107" s="105"/>
      <c r="I107" s="271"/>
      <c r="J107" s="271"/>
      <c r="K107" s="271"/>
      <c r="L107" s="271"/>
      <c r="M107" s="271"/>
      <c r="N107" s="271"/>
      <c r="O107" s="271"/>
      <c r="P107" s="271"/>
      <c r="Q107" s="105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2"/>
      <c r="AK107" s="271"/>
      <c r="AL107" s="272"/>
      <c r="AM107" s="271"/>
      <c r="AN107" s="105"/>
      <c r="AO107" s="271"/>
      <c r="AP107" s="271"/>
      <c r="AQ107" s="105"/>
      <c r="AR107" s="271"/>
      <c r="AS107" s="271"/>
      <c r="AT107" s="271"/>
      <c r="AU107" s="105"/>
      <c r="AV107" s="271"/>
      <c r="AW107" s="105"/>
      <c r="AX107" s="182"/>
      <c r="AY107" s="271"/>
      <c r="AZ107" s="106"/>
    </row>
    <row r="108" spans="1:52" x14ac:dyDescent="0.2">
      <c r="A108" s="270" t="s">
        <v>106</v>
      </c>
      <c r="B108" s="271"/>
      <c r="C108" s="271"/>
      <c r="D108" s="271"/>
      <c r="E108" s="271"/>
      <c r="F108" s="105"/>
      <c r="G108" s="271"/>
      <c r="H108" s="105"/>
      <c r="I108" s="271"/>
      <c r="J108" s="271"/>
      <c r="K108" s="271"/>
      <c r="L108" s="271"/>
      <c r="M108" s="271"/>
      <c r="N108" s="271"/>
      <c r="O108" s="271"/>
      <c r="P108" s="271"/>
      <c r="Q108" s="105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2"/>
      <c r="AK108" s="271"/>
      <c r="AL108" s="272"/>
      <c r="AM108" s="271"/>
      <c r="AN108" s="105"/>
      <c r="AO108" s="271"/>
      <c r="AP108" s="271"/>
      <c r="AQ108" s="105"/>
      <c r="AR108" s="271"/>
      <c r="AS108" s="271"/>
      <c r="AT108" s="271"/>
      <c r="AU108" s="105"/>
      <c r="AV108" s="271"/>
      <c r="AW108" s="105"/>
      <c r="AX108" s="182"/>
      <c r="AY108" s="271"/>
      <c r="AZ108" s="106"/>
    </row>
    <row r="109" spans="1:52" x14ac:dyDescent="0.2">
      <c r="A109" s="270" t="s">
        <v>107</v>
      </c>
      <c r="B109" s="271"/>
      <c r="C109" s="271"/>
      <c r="D109" s="271"/>
      <c r="E109" s="271"/>
      <c r="F109" s="105"/>
      <c r="G109" s="271"/>
      <c r="H109" s="105"/>
      <c r="I109" s="271"/>
      <c r="J109" s="271"/>
      <c r="K109" s="271"/>
      <c r="L109" s="271"/>
      <c r="M109" s="271"/>
      <c r="N109" s="271"/>
      <c r="O109" s="271"/>
      <c r="P109" s="271"/>
      <c r="Q109" s="105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2"/>
      <c r="AK109" s="271"/>
      <c r="AL109" s="272"/>
      <c r="AM109" s="271"/>
      <c r="AN109" s="105"/>
      <c r="AO109" s="271"/>
      <c r="AP109" s="271"/>
      <c r="AQ109" s="105"/>
      <c r="AR109" s="271"/>
      <c r="AS109" s="271"/>
      <c r="AT109" s="271"/>
      <c r="AU109" s="105"/>
      <c r="AV109" s="271"/>
      <c r="AW109" s="105"/>
      <c r="AX109" s="182"/>
      <c r="AY109" s="271"/>
      <c r="AZ109" s="106"/>
    </row>
    <row r="110" spans="1:52" x14ac:dyDescent="0.2">
      <c r="A110" s="107"/>
      <c r="B110" s="108"/>
      <c r="C110" s="109"/>
      <c r="D110" s="110"/>
      <c r="E110" s="111"/>
      <c r="F110" s="110"/>
      <c r="G110" s="111"/>
      <c r="H110" s="110"/>
      <c r="I110" s="111"/>
      <c r="J110" s="111"/>
      <c r="K110" s="111"/>
      <c r="L110" s="111"/>
      <c r="M110" s="111"/>
      <c r="N110" s="111"/>
      <c r="O110" s="111"/>
      <c r="P110" s="111"/>
      <c r="Q110" s="110"/>
      <c r="R110" s="111"/>
      <c r="S110" s="111"/>
      <c r="T110" s="111"/>
      <c r="U110" s="110"/>
      <c r="V110" s="111"/>
      <c r="W110" s="110"/>
      <c r="X110" s="111"/>
      <c r="Y110" s="108"/>
      <c r="Z110" s="108"/>
      <c r="AA110" s="108"/>
      <c r="AB110" s="108"/>
      <c r="AC110" s="108"/>
      <c r="AD110" s="108"/>
      <c r="AE110" s="110"/>
      <c r="AF110" s="111"/>
      <c r="AG110" s="111"/>
      <c r="AH110" s="111"/>
      <c r="AI110" s="111"/>
      <c r="AJ110" s="110"/>
      <c r="AK110" s="111"/>
      <c r="AL110" s="110"/>
      <c r="AM110" s="111"/>
      <c r="AN110" s="110"/>
      <c r="AO110" s="111"/>
      <c r="AP110" s="111"/>
      <c r="AQ110" s="110"/>
      <c r="AR110" s="111"/>
      <c r="AS110" s="111"/>
      <c r="AT110" s="111"/>
      <c r="AU110" s="110"/>
      <c r="AV110" s="111"/>
      <c r="AW110" s="110"/>
      <c r="AX110" s="111"/>
      <c r="AY110" s="111"/>
      <c r="AZ110" s="112"/>
    </row>
  </sheetData>
  <sheetProtection algorithmName="SHA-512" hashValue="7U6CwwBQQTvopvmXsJgqCH5kBJ0gWTfToA5cK5fCy6VPQdOXssz+adumAyvwBnItWkQHQ5JTezaUDiDhlICT6A==" saltValue="GlQWDi7xZKmt9oaxcyrrEQ==" spinCount="100000" sheet="1" formatCells="0" formatColumns="0" formatRows="0"/>
  <mergeCells count="9">
    <mergeCell ref="AJ4:AM4"/>
    <mergeCell ref="AN4:AP4"/>
    <mergeCell ref="AQ4:AT4"/>
    <mergeCell ref="AU4:AZ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60" max="47" man="1"/>
  </rowBreaks>
  <colBreaks count="3" manualBreakCount="3">
    <brk id="16" max="103" man="1"/>
    <brk id="30" max="99" man="1"/>
    <brk id="39" max="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90" zoomScaleNormal="90" workbookViewId="0">
      <pane ySplit="3" topLeftCell="A4" activePane="bottomLeft" state="frozen"/>
      <selection pane="bottomLeft" activeCell="K12" sqref="K12"/>
    </sheetView>
  </sheetViews>
  <sheetFormatPr defaultColWidth="11.42578125" defaultRowHeight="15" x14ac:dyDescent="0.25"/>
  <cols>
    <col min="1" max="1" width="33.28515625" style="214" customWidth="1"/>
    <col min="2" max="2" width="5.5703125" style="233" bestFit="1" customWidth="1"/>
    <col min="3" max="3" width="8.42578125" style="234" bestFit="1" customWidth="1"/>
    <col min="4" max="4" width="9.7109375" style="234" bestFit="1" customWidth="1"/>
    <col min="5" max="5" width="9.42578125" style="234" bestFit="1" customWidth="1"/>
    <col min="6" max="6" width="12.42578125" style="234" customWidth="1"/>
    <col min="7" max="7" width="9.28515625" style="234" customWidth="1"/>
    <col min="8" max="8" width="12.28515625" style="234" customWidth="1"/>
    <col min="9" max="9" width="8.140625" style="234" bestFit="1" customWidth="1"/>
    <col min="10" max="10" width="9.5703125" style="235" customWidth="1"/>
    <col min="11" max="12" width="11.42578125" style="195" bestFit="1" customWidth="1"/>
    <col min="13" max="13" width="13" style="236" bestFit="1" customWidth="1"/>
    <col min="14" max="14" width="9.85546875" style="236" bestFit="1" customWidth="1"/>
    <col min="15" max="16" width="9.28515625" style="236" bestFit="1" customWidth="1"/>
    <col min="17" max="19" width="10.7109375" style="236" bestFit="1" customWidth="1"/>
    <col min="20" max="16384" width="11.42578125" style="221"/>
  </cols>
  <sheetData>
    <row r="1" spans="1:19" s="214" customFormat="1" ht="45" x14ac:dyDescent="0.25">
      <c r="A1" s="209" t="s">
        <v>203</v>
      </c>
      <c r="B1" s="210"/>
      <c r="C1" s="211" t="s">
        <v>162</v>
      </c>
      <c r="D1" s="210">
        <v>3604</v>
      </c>
      <c r="E1" s="210">
        <v>4076</v>
      </c>
      <c r="F1" s="210">
        <v>3620</v>
      </c>
      <c r="G1" s="211" t="s">
        <v>163</v>
      </c>
      <c r="H1" s="210">
        <v>4561</v>
      </c>
      <c r="I1" s="210" t="s">
        <v>164</v>
      </c>
      <c r="J1" s="212" t="s">
        <v>193</v>
      </c>
      <c r="K1" s="213" t="s">
        <v>185</v>
      </c>
      <c r="L1" s="213" t="s">
        <v>186</v>
      </c>
      <c r="M1" s="212" t="s">
        <v>187</v>
      </c>
      <c r="N1" s="212" t="s">
        <v>188</v>
      </c>
      <c r="O1" s="212" t="s">
        <v>189</v>
      </c>
      <c r="P1" s="212" t="s">
        <v>190</v>
      </c>
      <c r="Q1" s="212" t="s">
        <v>191</v>
      </c>
      <c r="R1" s="212" t="s">
        <v>192</v>
      </c>
      <c r="S1" s="212" t="s">
        <v>196</v>
      </c>
    </row>
    <row r="2" spans="1:19" s="219" customFormat="1" ht="30" x14ac:dyDescent="0.25">
      <c r="A2" s="215" t="s">
        <v>204</v>
      </c>
      <c r="B2" s="216"/>
      <c r="C2" s="217">
        <v>14</v>
      </c>
      <c r="D2" s="216">
        <v>77</v>
      </c>
      <c r="E2" s="216">
        <v>19.100000000000001</v>
      </c>
      <c r="F2" s="216">
        <v>50</v>
      </c>
      <c r="G2" s="217">
        <v>7.5</v>
      </c>
      <c r="H2" s="216" t="s">
        <v>205</v>
      </c>
      <c r="I2" s="216"/>
      <c r="J2" s="218"/>
      <c r="K2" s="212"/>
      <c r="L2" s="212"/>
      <c r="M2" s="212"/>
      <c r="N2" s="212"/>
      <c r="O2" s="212"/>
      <c r="P2" s="212"/>
      <c r="Q2" s="212"/>
      <c r="R2" s="212"/>
      <c r="S2" s="212"/>
    </row>
    <row r="3" spans="1:19" s="214" customFormat="1" x14ac:dyDescent="0.25">
      <c r="A3" s="209"/>
      <c r="B3" s="210"/>
      <c r="C3" s="211" t="s">
        <v>165</v>
      </c>
      <c r="D3" s="210" t="s">
        <v>166</v>
      </c>
      <c r="E3" s="210" t="s">
        <v>167</v>
      </c>
      <c r="F3" s="210" t="s">
        <v>168</v>
      </c>
      <c r="G3" s="211"/>
      <c r="H3" s="210" t="s">
        <v>169</v>
      </c>
      <c r="I3" s="210"/>
      <c r="J3" s="220"/>
      <c r="K3" s="213"/>
      <c r="L3" s="213"/>
      <c r="M3" s="212"/>
      <c r="N3" s="212"/>
      <c r="O3" s="212"/>
      <c r="P3" s="212"/>
      <c r="Q3" s="212"/>
      <c r="R3" s="212"/>
      <c r="S3" s="212"/>
    </row>
    <row r="4" spans="1:19" x14ac:dyDescent="0.25">
      <c r="A4" s="183" t="s">
        <v>170</v>
      </c>
      <c r="B4" s="184">
        <v>2019</v>
      </c>
      <c r="C4" s="185">
        <v>13.972</v>
      </c>
      <c r="D4" s="185">
        <v>19.794</v>
      </c>
      <c r="E4" s="185">
        <v>16.152000000000001</v>
      </c>
      <c r="F4" s="185">
        <v>13.318</v>
      </c>
      <c r="G4" s="185">
        <v>0</v>
      </c>
      <c r="H4" s="185">
        <v>18.2622</v>
      </c>
      <c r="I4" s="185"/>
      <c r="J4" s="186"/>
      <c r="K4" s="185"/>
      <c r="L4" s="185"/>
      <c r="M4" s="187"/>
      <c r="N4" s="187"/>
      <c r="O4" s="187"/>
      <c r="P4" s="187"/>
      <c r="Q4" s="187"/>
      <c r="R4" s="187"/>
      <c r="S4" s="187"/>
    </row>
    <row r="5" spans="1:19" x14ac:dyDescent="0.25">
      <c r="A5" s="222" t="s">
        <v>170</v>
      </c>
      <c r="B5" s="223">
        <v>2020</v>
      </c>
      <c r="C5" s="188">
        <v>14.670999999999999</v>
      </c>
      <c r="D5" s="188">
        <v>20.783999999999999</v>
      </c>
      <c r="E5" s="188">
        <v>16.96</v>
      </c>
      <c r="F5" s="188">
        <v>13.984</v>
      </c>
      <c r="G5" s="188">
        <v>0</v>
      </c>
      <c r="H5" s="188">
        <v>15.557</v>
      </c>
      <c r="I5" s="188"/>
      <c r="J5" s="189"/>
      <c r="K5" s="188"/>
      <c r="L5" s="188"/>
      <c r="M5" s="190"/>
      <c r="N5" s="190"/>
      <c r="O5" s="190"/>
      <c r="P5" s="190"/>
      <c r="Q5" s="190"/>
      <c r="R5" s="190"/>
      <c r="S5" s="190"/>
    </row>
    <row r="6" spans="1:19" x14ac:dyDescent="0.25">
      <c r="A6" s="183" t="s">
        <v>197</v>
      </c>
      <c r="B6" s="184">
        <v>2019</v>
      </c>
      <c r="C6" s="185">
        <v>13.8</v>
      </c>
      <c r="D6" s="185">
        <v>19.63</v>
      </c>
      <c r="E6" s="185">
        <v>15.9</v>
      </c>
      <c r="F6" s="185">
        <v>13.21</v>
      </c>
      <c r="G6" s="185">
        <v>22.466000000000001</v>
      </c>
      <c r="H6" s="185">
        <v>18.5</v>
      </c>
      <c r="I6" s="185"/>
      <c r="J6" s="186"/>
      <c r="K6" s="185"/>
      <c r="L6" s="185"/>
      <c r="M6" s="187"/>
      <c r="N6" s="187"/>
      <c r="O6" s="187"/>
      <c r="P6" s="187"/>
      <c r="Q6" s="187"/>
      <c r="R6" s="187"/>
      <c r="S6" s="187"/>
    </row>
    <row r="7" spans="1:19" x14ac:dyDescent="0.25">
      <c r="A7" s="222" t="s">
        <v>197</v>
      </c>
      <c r="B7" s="223">
        <v>2020</v>
      </c>
      <c r="C7" s="188">
        <v>14.42</v>
      </c>
      <c r="D7" s="188">
        <v>20.51</v>
      </c>
      <c r="E7" s="188">
        <v>16.61</v>
      </c>
      <c r="F7" s="188">
        <v>13.8</v>
      </c>
      <c r="G7" s="188">
        <f>176.1/7.5</f>
        <v>23.48</v>
      </c>
      <c r="H7" s="188">
        <v>19.329999999999998</v>
      </c>
      <c r="I7" s="188"/>
      <c r="J7" s="189"/>
      <c r="K7" s="188"/>
      <c r="L7" s="188"/>
      <c r="M7" s="190"/>
      <c r="N7" s="190"/>
      <c r="O7" s="190"/>
      <c r="P7" s="190"/>
      <c r="Q7" s="190"/>
      <c r="R7" s="190"/>
      <c r="S7" s="190"/>
    </row>
    <row r="8" spans="1:19" x14ac:dyDescent="0.25">
      <c r="A8" s="183" t="s">
        <v>118</v>
      </c>
      <c r="B8" s="184">
        <v>2019</v>
      </c>
      <c r="C8" s="185">
        <v>13.567</v>
      </c>
      <c r="D8" s="185">
        <v>19.219000000000001</v>
      </c>
      <c r="E8" s="185">
        <v>15.244999999999999</v>
      </c>
      <c r="F8" s="185">
        <v>12.933</v>
      </c>
      <c r="G8" s="185">
        <v>0</v>
      </c>
      <c r="H8" s="185">
        <v>17.581</v>
      </c>
      <c r="I8" s="185"/>
      <c r="J8" s="186"/>
      <c r="K8" s="185"/>
      <c r="L8" s="185"/>
      <c r="M8" s="187"/>
      <c r="N8" s="187"/>
      <c r="O8" s="187"/>
      <c r="P8" s="187"/>
      <c r="Q8" s="187"/>
      <c r="R8" s="187"/>
      <c r="S8" s="187"/>
    </row>
    <row r="9" spans="1:19" x14ac:dyDescent="0.25">
      <c r="A9" s="222" t="s">
        <v>118</v>
      </c>
      <c r="B9" s="223">
        <v>2020</v>
      </c>
      <c r="C9" s="188">
        <v>14.218</v>
      </c>
      <c r="D9" s="188">
        <v>20.12</v>
      </c>
      <c r="E9" s="188">
        <v>15.930999999999999</v>
      </c>
      <c r="F9" s="188">
        <v>13.554</v>
      </c>
      <c r="G9" s="188">
        <v>0</v>
      </c>
      <c r="H9" s="188">
        <v>18.425000000000001</v>
      </c>
      <c r="I9" s="188"/>
      <c r="J9" s="189"/>
      <c r="K9" s="188"/>
      <c r="L9" s="188"/>
      <c r="M9" s="188"/>
      <c r="N9" s="188"/>
      <c r="O9" s="188"/>
      <c r="P9" s="188"/>
      <c r="Q9" s="190"/>
      <c r="R9" s="190"/>
      <c r="S9" s="190"/>
    </row>
    <row r="10" spans="1:19" x14ac:dyDescent="0.25">
      <c r="A10" s="183" t="s">
        <v>194</v>
      </c>
      <c r="B10" s="184">
        <v>2019</v>
      </c>
      <c r="C10" s="185">
        <v>14.018000000000001</v>
      </c>
      <c r="D10" s="185">
        <v>19.492000000000001</v>
      </c>
      <c r="E10" s="185">
        <v>15.462</v>
      </c>
      <c r="F10" s="185">
        <v>13.119</v>
      </c>
      <c r="G10" s="185">
        <v>0</v>
      </c>
      <c r="H10" s="185">
        <v>17.931999999999999</v>
      </c>
      <c r="I10" s="185"/>
      <c r="J10" s="186"/>
      <c r="K10" s="185"/>
      <c r="L10" s="185"/>
      <c r="M10" s="187"/>
      <c r="N10" s="187"/>
      <c r="O10" s="187"/>
      <c r="P10" s="187"/>
      <c r="Q10" s="187"/>
      <c r="R10" s="187"/>
      <c r="S10" s="187"/>
    </row>
    <row r="11" spans="1:19" x14ac:dyDescent="0.25">
      <c r="A11" s="222" t="s">
        <v>194</v>
      </c>
      <c r="B11" s="223">
        <v>2020</v>
      </c>
      <c r="C11" s="188">
        <v>14.691000000000001</v>
      </c>
      <c r="D11" s="188">
        <v>20.428000000000001</v>
      </c>
      <c r="E11" s="188">
        <v>16.204000000000001</v>
      </c>
      <c r="F11" s="188">
        <v>13.749000000000001</v>
      </c>
      <c r="G11" s="188">
        <v>0</v>
      </c>
      <c r="H11" s="188">
        <v>18.687999999999999</v>
      </c>
      <c r="I11" s="188"/>
      <c r="J11" s="189"/>
      <c r="K11" s="188"/>
      <c r="L11" s="188"/>
      <c r="M11" s="190"/>
      <c r="N11" s="190"/>
      <c r="O11" s="190"/>
      <c r="P11" s="190"/>
      <c r="Q11" s="190"/>
      <c r="R11" s="190"/>
      <c r="S11" s="190"/>
    </row>
    <row r="12" spans="1:19" x14ac:dyDescent="0.25">
      <c r="A12" s="183" t="s">
        <v>119</v>
      </c>
      <c r="B12" s="184">
        <v>2019</v>
      </c>
      <c r="C12" s="185">
        <v>13.83</v>
      </c>
      <c r="D12" s="185">
        <v>19.600000000000001</v>
      </c>
      <c r="E12" s="185">
        <v>15.88</v>
      </c>
      <c r="F12" s="185">
        <v>13.21</v>
      </c>
      <c r="G12" s="185">
        <v>22.44</v>
      </c>
      <c r="H12" s="185">
        <v>18.48</v>
      </c>
      <c r="I12" s="185"/>
      <c r="J12" s="186"/>
      <c r="K12" s="185"/>
      <c r="L12" s="185"/>
      <c r="M12" s="187"/>
      <c r="N12" s="187"/>
      <c r="O12" s="187"/>
      <c r="P12" s="187"/>
      <c r="Q12" s="187"/>
      <c r="R12" s="187"/>
      <c r="S12" s="187"/>
    </row>
    <row r="13" spans="1:19" x14ac:dyDescent="0.25">
      <c r="A13" s="222" t="s">
        <v>119</v>
      </c>
      <c r="B13" s="223">
        <v>2020</v>
      </c>
      <c r="C13" s="188">
        <v>14.45</v>
      </c>
      <c r="D13" s="188">
        <v>20.48</v>
      </c>
      <c r="E13" s="188">
        <v>16.59</v>
      </c>
      <c r="F13" s="188">
        <v>13.8</v>
      </c>
      <c r="G13" s="188">
        <f>175.9/7.5</f>
        <v>23.453333333333333</v>
      </c>
      <c r="H13" s="188">
        <v>19.309999999999999</v>
      </c>
      <c r="I13" s="188"/>
      <c r="J13" s="189"/>
      <c r="K13" s="188"/>
      <c r="L13" s="188"/>
      <c r="M13" s="190"/>
      <c r="N13" s="190"/>
      <c r="O13" s="190"/>
      <c r="P13" s="190"/>
      <c r="Q13" s="190"/>
      <c r="R13" s="190"/>
      <c r="S13" s="190"/>
    </row>
    <row r="14" spans="1:19" x14ac:dyDescent="0.25">
      <c r="A14" s="183" t="s">
        <v>171</v>
      </c>
      <c r="B14" s="184">
        <v>2019</v>
      </c>
      <c r="C14" s="185">
        <v>13.207000000000001</v>
      </c>
      <c r="D14" s="185">
        <v>18.701000000000001</v>
      </c>
      <c r="E14" s="185">
        <v>10.172000000000001</v>
      </c>
      <c r="F14" s="185">
        <v>12.58</v>
      </c>
      <c r="G14" s="185">
        <v>21.332999999999998</v>
      </c>
      <c r="H14" s="185">
        <v>17.606000000000002</v>
      </c>
      <c r="I14" s="185"/>
      <c r="J14" s="186"/>
      <c r="K14" s="185"/>
      <c r="L14" s="185"/>
      <c r="M14" s="187"/>
      <c r="N14" s="187"/>
      <c r="O14" s="187"/>
      <c r="P14" s="187"/>
      <c r="Q14" s="187"/>
      <c r="R14" s="187"/>
      <c r="S14" s="187"/>
    </row>
    <row r="15" spans="1:19" x14ac:dyDescent="0.25">
      <c r="A15" s="183" t="s">
        <v>172</v>
      </c>
      <c r="B15" s="184">
        <v>2019</v>
      </c>
      <c r="C15" s="185">
        <v>13.557</v>
      </c>
      <c r="D15" s="185">
        <v>19.225000000000001</v>
      </c>
      <c r="E15" s="185">
        <v>15.68</v>
      </c>
      <c r="F15" s="185">
        <v>12.936</v>
      </c>
      <c r="G15" s="185">
        <v>21.92</v>
      </c>
      <c r="H15" s="185">
        <v>18.087</v>
      </c>
      <c r="I15" s="185"/>
      <c r="J15" s="186"/>
      <c r="K15" s="185"/>
      <c r="L15" s="185"/>
      <c r="M15" s="187"/>
      <c r="N15" s="187"/>
      <c r="O15" s="187"/>
      <c r="P15" s="187"/>
      <c r="Q15" s="187"/>
      <c r="R15" s="187"/>
      <c r="S15" s="187"/>
    </row>
    <row r="16" spans="1:19" x14ac:dyDescent="0.25">
      <c r="A16" s="183" t="s">
        <v>173</v>
      </c>
      <c r="B16" s="184">
        <v>2019</v>
      </c>
      <c r="C16" s="185">
        <v>13.557</v>
      </c>
      <c r="D16" s="185">
        <v>19.225000000000001</v>
      </c>
      <c r="E16" s="185">
        <v>15.68</v>
      </c>
      <c r="F16" s="185">
        <v>12.936</v>
      </c>
      <c r="G16" s="185">
        <v>21.92</v>
      </c>
      <c r="H16" s="185">
        <v>18.087</v>
      </c>
      <c r="I16" s="185"/>
      <c r="J16" s="186"/>
      <c r="K16" s="185"/>
      <c r="L16" s="185"/>
      <c r="M16" s="187"/>
      <c r="N16" s="187"/>
      <c r="O16" s="187"/>
      <c r="P16" s="187"/>
      <c r="Q16" s="187"/>
      <c r="R16" s="187"/>
      <c r="S16" s="187"/>
    </row>
    <row r="17" spans="1:19" ht="90" x14ac:dyDescent="0.25">
      <c r="A17" s="191" t="s">
        <v>206</v>
      </c>
      <c r="B17" s="184">
        <v>2019</v>
      </c>
      <c r="C17" s="185">
        <v>13.85</v>
      </c>
      <c r="D17" s="185">
        <v>19.632000000000001</v>
      </c>
      <c r="E17" s="185">
        <v>16.02</v>
      </c>
      <c r="F17" s="185">
        <v>13.21</v>
      </c>
      <c r="G17" s="185">
        <v>22.413</v>
      </c>
      <c r="H17" s="185">
        <v>18.477</v>
      </c>
      <c r="I17" s="185"/>
      <c r="J17" s="186"/>
      <c r="K17" s="185">
        <v>0</v>
      </c>
      <c r="L17" s="185">
        <v>0</v>
      </c>
      <c r="M17" s="187">
        <v>0</v>
      </c>
      <c r="N17" s="187">
        <v>0</v>
      </c>
      <c r="O17" s="187">
        <v>0</v>
      </c>
      <c r="P17" s="187">
        <v>0</v>
      </c>
      <c r="Q17" s="187">
        <v>0</v>
      </c>
      <c r="R17" s="187">
        <v>0</v>
      </c>
      <c r="S17" s="187">
        <v>0</v>
      </c>
    </row>
    <row r="18" spans="1:19" x14ac:dyDescent="0.25">
      <c r="A18" s="183" t="s">
        <v>174</v>
      </c>
      <c r="B18" s="184">
        <v>2019</v>
      </c>
      <c r="C18" s="185">
        <v>14.2</v>
      </c>
      <c r="D18" s="185">
        <v>20.117999999999999</v>
      </c>
      <c r="E18" s="185">
        <v>10.946999999999999</v>
      </c>
      <c r="F18" s="185">
        <v>13.54</v>
      </c>
      <c r="G18" s="185">
        <v>22.946000000000002</v>
      </c>
      <c r="H18" s="185">
        <v>18.966000000000001</v>
      </c>
      <c r="I18" s="185"/>
      <c r="J18" s="186"/>
      <c r="K18" s="185"/>
      <c r="L18" s="185"/>
      <c r="M18" s="187"/>
      <c r="N18" s="187"/>
      <c r="O18" s="187"/>
      <c r="P18" s="187"/>
      <c r="Q18" s="187"/>
      <c r="R18" s="187"/>
      <c r="S18" s="187"/>
    </row>
    <row r="19" spans="1:19" x14ac:dyDescent="0.25">
      <c r="A19" s="183" t="s">
        <v>175</v>
      </c>
      <c r="B19" s="184">
        <v>2019</v>
      </c>
      <c r="C19" s="185">
        <v>18.141999999999999</v>
      </c>
      <c r="D19" s="185">
        <v>25.715</v>
      </c>
      <c r="E19" s="185">
        <v>20.984000000000002</v>
      </c>
      <c r="F19" s="185">
        <v>17.302</v>
      </c>
      <c r="G19" s="185">
        <v>29.346</v>
      </c>
      <c r="H19" s="185">
        <v>24.382999999999999</v>
      </c>
      <c r="I19" s="185"/>
      <c r="J19" s="186"/>
      <c r="K19" s="185"/>
      <c r="L19" s="185"/>
      <c r="M19" s="187"/>
      <c r="N19" s="187"/>
      <c r="O19" s="187"/>
      <c r="P19" s="187"/>
      <c r="Q19" s="187"/>
      <c r="R19" s="187"/>
      <c r="S19" s="187"/>
    </row>
    <row r="20" spans="1:19" x14ac:dyDescent="0.25">
      <c r="A20" s="183" t="s">
        <v>176</v>
      </c>
      <c r="B20" s="184">
        <v>2019</v>
      </c>
      <c r="C20" s="185">
        <v>18.141999999999999</v>
      </c>
      <c r="D20" s="185">
        <v>25.715</v>
      </c>
      <c r="E20" s="185">
        <v>20.984000000000002</v>
      </c>
      <c r="F20" s="185">
        <v>17.302</v>
      </c>
      <c r="G20" s="185">
        <v>29.346</v>
      </c>
      <c r="H20" s="185">
        <v>24.382999999999999</v>
      </c>
      <c r="I20" s="185"/>
      <c r="J20" s="186"/>
      <c r="K20" s="185"/>
      <c r="L20" s="185"/>
      <c r="M20" s="187"/>
      <c r="N20" s="187"/>
      <c r="O20" s="187"/>
      <c r="P20" s="187"/>
      <c r="Q20" s="187"/>
      <c r="R20" s="187"/>
      <c r="S20" s="187"/>
    </row>
    <row r="21" spans="1:19" ht="105" x14ac:dyDescent="0.25">
      <c r="A21" s="191" t="s">
        <v>177</v>
      </c>
      <c r="B21" s="184">
        <v>2019</v>
      </c>
      <c r="C21" s="185">
        <v>13.957000000000001</v>
      </c>
      <c r="D21" s="185">
        <v>25.715</v>
      </c>
      <c r="E21" s="185">
        <v>16.140999999999998</v>
      </c>
      <c r="F21" s="185">
        <v>17.303999999999998</v>
      </c>
      <c r="G21" s="185">
        <v>29.36</v>
      </c>
      <c r="H21" s="185">
        <v>18.619</v>
      </c>
      <c r="I21" s="185"/>
      <c r="J21" s="186"/>
      <c r="K21" s="185"/>
      <c r="L21" s="185"/>
      <c r="M21" s="187"/>
      <c r="N21" s="187"/>
      <c r="O21" s="187"/>
      <c r="P21" s="187"/>
      <c r="Q21" s="187"/>
      <c r="R21" s="187"/>
      <c r="S21" s="187"/>
    </row>
    <row r="22" spans="1:19" x14ac:dyDescent="0.25">
      <c r="A22" s="222" t="s">
        <v>171</v>
      </c>
      <c r="B22" s="223">
        <v>2020</v>
      </c>
      <c r="C22" s="188">
        <f>193.2/14</f>
        <v>13.799999999999999</v>
      </c>
      <c r="D22" s="188">
        <f>1504.8/77</f>
        <v>19.542857142857141</v>
      </c>
      <c r="E22" s="188">
        <f>203/19.1</f>
        <v>10.6282722513089</v>
      </c>
      <c r="F22" s="188">
        <f>657.3/50</f>
        <v>13.145999999999999</v>
      </c>
      <c r="G22" s="188">
        <f>167.2/7.5</f>
        <v>22.293333333333333</v>
      </c>
      <c r="H22" s="188">
        <f>163.8/8.9</f>
        <v>18.404494382022474</v>
      </c>
      <c r="I22" s="188"/>
      <c r="J22" s="189"/>
      <c r="K22" s="188"/>
      <c r="L22" s="188"/>
      <c r="M22" s="190"/>
      <c r="N22" s="190"/>
      <c r="O22" s="190"/>
      <c r="P22" s="190"/>
      <c r="Q22" s="190"/>
      <c r="R22" s="190"/>
      <c r="S22" s="190"/>
    </row>
    <row r="23" spans="1:19" x14ac:dyDescent="0.25">
      <c r="A23" s="222" t="s">
        <v>172</v>
      </c>
      <c r="B23" s="223">
        <v>2020</v>
      </c>
      <c r="C23" s="188">
        <f>198.3/14</f>
        <v>14.164285714285715</v>
      </c>
      <c r="D23" s="188">
        <f>1547/77</f>
        <v>20.09090909090909</v>
      </c>
      <c r="E23" s="188">
        <f>313/19.1</f>
        <v>16.387434554973822</v>
      </c>
      <c r="F23" s="188">
        <f>675.9/50</f>
        <v>13.517999999999999</v>
      </c>
      <c r="G23" s="188">
        <f>171.8/7.5</f>
        <v>22.90666666666667</v>
      </c>
      <c r="H23" s="188">
        <f>253.4/13.4</f>
        <v>18.910447761194028</v>
      </c>
      <c r="I23" s="188"/>
      <c r="J23" s="189"/>
      <c r="K23" s="188"/>
      <c r="L23" s="188"/>
      <c r="M23" s="190"/>
      <c r="N23" s="190"/>
      <c r="O23" s="190"/>
      <c r="P23" s="190"/>
      <c r="Q23" s="190"/>
      <c r="R23" s="190"/>
      <c r="S23" s="190"/>
    </row>
    <row r="24" spans="1:19" x14ac:dyDescent="0.25">
      <c r="A24" s="222" t="s">
        <v>173</v>
      </c>
      <c r="B24" s="223">
        <v>2020</v>
      </c>
      <c r="C24" s="200">
        <f>C23</f>
        <v>14.164285714285715</v>
      </c>
      <c r="D24" s="200">
        <f t="shared" ref="D24:H24" si="0">D23</f>
        <v>20.09090909090909</v>
      </c>
      <c r="E24" s="200">
        <f t="shared" si="0"/>
        <v>16.387434554973822</v>
      </c>
      <c r="F24" s="200">
        <f t="shared" si="0"/>
        <v>13.517999999999999</v>
      </c>
      <c r="G24" s="200">
        <f t="shared" si="0"/>
        <v>22.90666666666667</v>
      </c>
      <c r="H24" s="200">
        <f t="shared" si="0"/>
        <v>18.910447761194028</v>
      </c>
      <c r="I24" s="188"/>
      <c r="J24" s="189"/>
      <c r="K24" s="188"/>
      <c r="L24" s="188"/>
      <c r="M24" s="190"/>
      <c r="N24" s="190"/>
      <c r="O24" s="190"/>
      <c r="P24" s="190"/>
      <c r="Q24" s="190"/>
      <c r="R24" s="190"/>
      <c r="S24" s="190"/>
    </row>
    <row r="25" spans="1:19" ht="90" x14ac:dyDescent="0.25">
      <c r="A25" s="224" t="s">
        <v>206</v>
      </c>
      <c r="B25" s="223">
        <v>2020</v>
      </c>
      <c r="C25" s="188">
        <f>205.8/14</f>
        <v>14.700000000000001</v>
      </c>
      <c r="D25" s="188">
        <f>1603.9/77</f>
        <v>20.82987012987013</v>
      </c>
      <c r="E25" s="188">
        <f>324.6/19.1</f>
        <v>16.994764397905758</v>
      </c>
      <c r="F25" s="188">
        <f>911.2/50</f>
        <v>18.224</v>
      </c>
      <c r="G25" s="188">
        <f>178.4/7.5</f>
        <v>23.786666666666669</v>
      </c>
      <c r="H25" s="188">
        <f>262.7/13.4</f>
        <v>19.604477611940297</v>
      </c>
      <c r="I25" s="188"/>
      <c r="J25" s="188"/>
      <c r="K25" s="188">
        <f t="shared" ref="K25:S25" si="1">K31:Z31</f>
        <v>0</v>
      </c>
      <c r="L25" s="188">
        <f t="shared" si="1"/>
        <v>0</v>
      </c>
      <c r="M25" s="188">
        <f t="shared" si="1"/>
        <v>0</v>
      </c>
      <c r="N25" s="188">
        <f t="shared" si="1"/>
        <v>0</v>
      </c>
      <c r="O25" s="188">
        <f t="shared" si="1"/>
        <v>0</v>
      </c>
      <c r="P25" s="188">
        <f t="shared" si="1"/>
        <v>0</v>
      </c>
      <c r="Q25" s="188">
        <f t="shared" si="1"/>
        <v>0</v>
      </c>
      <c r="R25" s="188">
        <f t="shared" si="1"/>
        <v>0</v>
      </c>
      <c r="S25" s="188">
        <f t="shared" si="1"/>
        <v>0</v>
      </c>
    </row>
    <row r="26" spans="1:19" x14ac:dyDescent="0.25">
      <c r="A26" s="222" t="s">
        <v>174</v>
      </c>
      <c r="B26" s="223">
        <v>2020</v>
      </c>
      <c r="C26" s="188">
        <f>209.3/14</f>
        <v>14.950000000000001</v>
      </c>
      <c r="D26" s="188">
        <f>1631.2/77</f>
        <v>21.184415584415586</v>
      </c>
      <c r="E26" s="188">
        <f>220.2/19.1</f>
        <v>11.528795811518323</v>
      </c>
      <c r="F26" s="188">
        <f>712.9/50</f>
        <v>14.257999999999999</v>
      </c>
      <c r="G26" s="188">
        <f>181.2/7.5</f>
        <v>24.16</v>
      </c>
      <c r="H26" s="188">
        <f>177.7/8.9</f>
        <v>19.966292134831459</v>
      </c>
      <c r="I26" s="188"/>
      <c r="J26" s="189"/>
      <c r="K26" s="188"/>
      <c r="L26" s="188"/>
      <c r="M26" s="190"/>
      <c r="N26" s="190"/>
      <c r="O26" s="190"/>
      <c r="P26" s="190"/>
      <c r="Q26" s="190"/>
      <c r="R26" s="190"/>
      <c r="S26" s="190"/>
    </row>
    <row r="27" spans="1:19" x14ac:dyDescent="0.25">
      <c r="A27" s="222" t="s">
        <v>175</v>
      </c>
      <c r="B27" s="223">
        <v>2020</v>
      </c>
      <c r="C27" s="188">
        <f>267.5/14</f>
        <v>19.107142857142858</v>
      </c>
      <c r="D27" s="188">
        <f>2085/77</f>
        <v>27.077922077922079</v>
      </c>
      <c r="E27" s="188">
        <f>422/19.1</f>
        <v>22.094240837696333</v>
      </c>
      <c r="F27" s="188">
        <f>911/50</f>
        <v>18.22</v>
      </c>
      <c r="G27" s="188">
        <f>231.9/7.5</f>
        <v>30.92</v>
      </c>
      <c r="H27" s="188">
        <f>341.5/13.4</f>
        <v>25.485074626865671</v>
      </c>
      <c r="I27" s="188"/>
      <c r="J27" s="189"/>
      <c r="K27" s="188"/>
      <c r="L27" s="188"/>
      <c r="M27" s="190"/>
      <c r="N27" s="190"/>
      <c r="O27" s="190"/>
      <c r="P27" s="190"/>
      <c r="Q27" s="190"/>
      <c r="R27" s="190"/>
      <c r="S27" s="190"/>
    </row>
    <row r="28" spans="1:19" x14ac:dyDescent="0.25">
      <c r="A28" s="222" t="s">
        <v>176</v>
      </c>
      <c r="B28" s="223">
        <v>2020</v>
      </c>
      <c r="C28" s="200">
        <f>C27</f>
        <v>19.107142857142858</v>
      </c>
      <c r="D28" s="200">
        <f t="shared" ref="D28:H28" si="2">D27</f>
        <v>27.077922077922079</v>
      </c>
      <c r="E28" s="200">
        <f t="shared" si="2"/>
        <v>22.094240837696333</v>
      </c>
      <c r="F28" s="200">
        <f t="shared" si="2"/>
        <v>18.22</v>
      </c>
      <c r="G28" s="200">
        <f t="shared" si="2"/>
        <v>30.92</v>
      </c>
      <c r="H28" s="200">
        <f t="shared" si="2"/>
        <v>25.485074626865671</v>
      </c>
      <c r="I28" s="188"/>
      <c r="J28" s="189"/>
      <c r="K28" s="188"/>
      <c r="L28" s="188"/>
      <c r="M28" s="190"/>
      <c r="N28" s="190"/>
      <c r="O28" s="190"/>
      <c r="P28" s="190"/>
      <c r="Q28" s="190"/>
      <c r="R28" s="190"/>
      <c r="S28" s="190"/>
    </row>
    <row r="29" spans="1:19" ht="105" x14ac:dyDescent="0.25">
      <c r="A29" s="224" t="s">
        <v>177</v>
      </c>
      <c r="B29" s="223">
        <v>2020</v>
      </c>
      <c r="C29" s="200">
        <f>C28</f>
        <v>19.107142857142858</v>
      </c>
      <c r="D29" s="200">
        <f>D28</f>
        <v>27.077922077922079</v>
      </c>
      <c r="E29" s="200">
        <f>E25</f>
        <v>16.994764397905758</v>
      </c>
      <c r="F29" s="200">
        <f>F28</f>
        <v>18.22</v>
      </c>
      <c r="G29" s="200">
        <f>G28</f>
        <v>30.92</v>
      </c>
      <c r="H29" s="200">
        <f>H25</f>
        <v>19.604477611940297</v>
      </c>
      <c r="I29" s="188"/>
      <c r="J29" s="189"/>
      <c r="K29" s="188"/>
      <c r="L29" s="188"/>
      <c r="M29" s="190"/>
      <c r="N29" s="190"/>
      <c r="O29" s="190"/>
      <c r="P29" s="190"/>
      <c r="Q29" s="190"/>
      <c r="R29" s="190"/>
      <c r="S29" s="190"/>
    </row>
    <row r="30" spans="1:19" x14ac:dyDescent="0.25">
      <c r="A30" s="183" t="s">
        <v>120</v>
      </c>
      <c r="B30" s="184">
        <v>2019</v>
      </c>
      <c r="C30" s="185">
        <v>13.85</v>
      </c>
      <c r="D30" s="185">
        <v>19.632000000000001</v>
      </c>
      <c r="E30" s="185">
        <v>16.02</v>
      </c>
      <c r="F30" s="185">
        <v>13.21</v>
      </c>
      <c r="G30" s="185">
        <v>22.413</v>
      </c>
      <c r="H30" s="185">
        <v>18.477</v>
      </c>
      <c r="I30" s="185"/>
      <c r="J30" s="186"/>
      <c r="K30" s="185"/>
      <c r="L30" s="185"/>
      <c r="M30" s="187"/>
      <c r="N30" s="187"/>
      <c r="O30" s="187"/>
      <c r="P30" s="187"/>
      <c r="Q30" s="187"/>
      <c r="R30" s="187"/>
      <c r="S30" s="187"/>
    </row>
    <row r="31" spans="1:19" x14ac:dyDescent="0.25">
      <c r="A31" s="222" t="s">
        <v>120</v>
      </c>
      <c r="B31" s="223">
        <v>2020</v>
      </c>
      <c r="C31" s="188"/>
      <c r="D31" s="188"/>
      <c r="E31" s="188"/>
      <c r="F31" s="188"/>
      <c r="G31" s="188"/>
      <c r="H31" s="188"/>
      <c r="I31" s="188"/>
      <c r="J31" s="189"/>
      <c r="K31" s="188"/>
      <c r="L31" s="188"/>
      <c r="M31" s="190"/>
      <c r="N31" s="190"/>
      <c r="O31" s="190"/>
      <c r="P31" s="190"/>
      <c r="Q31" s="190"/>
      <c r="R31" s="190"/>
      <c r="S31" s="190"/>
    </row>
    <row r="32" spans="1:19" x14ac:dyDescent="0.25">
      <c r="A32" s="183" t="s">
        <v>121</v>
      </c>
      <c r="B32" s="184">
        <v>2019</v>
      </c>
      <c r="C32" s="185">
        <v>14.481</v>
      </c>
      <c r="D32" s="185">
        <v>20.513999999999999</v>
      </c>
      <c r="E32" s="185">
        <v>16.741</v>
      </c>
      <c r="F32" s="185">
        <v>13.804</v>
      </c>
      <c r="G32" s="185">
        <v>0</v>
      </c>
      <c r="H32" s="185">
        <v>19.306999999999999</v>
      </c>
      <c r="I32" s="185">
        <v>23.384</v>
      </c>
      <c r="J32" s="186">
        <v>26.215</v>
      </c>
      <c r="K32" s="185"/>
      <c r="L32" s="185"/>
      <c r="M32" s="187"/>
      <c r="N32" s="187"/>
      <c r="O32" s="187"/>
      <c r="P32" s="187"/>
      <c r="Q32" s="187"/>
      <c r="R32" s="187"/>
      <c r="S32" s="187"/>
    </row>
    <row r="33" spans="1:19" x14ac:dyDescent="0.25">
      <c r="A33" s="222" t="s">
        <v>121</v>
      </c>
      <c r="B33" s="223">
        <v>2020</v>
      </c>
      <c r="C33" s="188">
        <v>15.22</v>
      </c>
      <c r="D33" s="188">
        <v>21.56</v>
      </c>
      <c r="E33" s="188">
        <v>17.594999999999999</v>
      </c>
      <c r="F33" s="188">
        <v>14.507999999999999</v>
      </c>
      <c r="G33" s="188">
        <v>0</v>
      </c>
      <c r="H33" s="188">
        <v>20.292000000000002</v>
      </c>
      <c r="I33" s="188">
        <v>24.576000000000001</v>
      </c>
      <c r="J33" s="189">
        <v>27.552</v>
      </c>
      <c r="K33" s="188"/>
      <c r="L33" s="188"/>
      <c r="M33" s="190"/>
      <c r="N33" s="190"/>
      <c r="O33" s="190"/>
      <c r="P33" s="190"/>
      <c r="Q33" s="190"/>
      <c r="R33" s="190"/>
      <c r="S33" s="190"/>
    </row>
    <row r="34" spans="1:19" x14ac:dyDescent="0.25">
      <c r="A34" s="183" t="s">
        <v>178</v>
      </c>
      <c r="B34" s="184">
        <v>2019</v>
      </c>
      <c r="C34" s="185">
        <v>14.52</v>
      </c>
      <c r="D34" s="185">
        <v>20.64</v>
      </c>
      <c r="E34" s="185">
        <v>16.72</v>
      </c>
      <c r="F34" s="185">
        <v>13.91</v>
      </c>
      <c r="G34" s="185">
        <v>0</v>
      </c>
      <c r="H34" s="185">
        <v>19.46</v>
      </c>
      <c r="I34" s="185"/>
      <c r="J34" s="186"/>
      <c r="K34" s="185"/>
      <c r="L34" s="185"/>
      <c r="M34" s="187"/>
      <c r="N34" s="187"/>
      <c r="O34" s="187"/>
      <c r="P34" s="187"/>
      <c r="Q34" s="187"/>
      <c r="R34" s="187"/>
      <c r="S34" s="187"/>
    </row>
    <row r="35" spans="1:19" x14ac:dyDescent="0.25">
      <c r="A35" s="222" t="s">
        <v>178</v>
      </c>
      <c r="B35" s="223">
        <v>2020</v>
      </c>
      <c r="C35" s="188">
        <v>15.24</v>
      </c>
      <c r="D35" s="188">
        <v>21.67</v>
      </c>
      <c r="E35" s="188">
        <v>17.55</v>
      </c>
      <c r="F35" s="188">
        <v>14.6</v>
      </c>
      <c r="G35" s="188">
        <v>0</v>
      </c>
      <c r="H35" s="188">
        <v>20.43</v>
      </c>
      <c r="I35" s="188"/>
      <c r="J35" s="189"/>
      <c r="K35" s="188"/>
      <c r="L35" s="188"/>
      <c r="M35" s="190"/>
      <c r="N35" s="190"/>
      <c r="O35" s="190"/>
      <c r="P35" s="190"/>
      <c r="Q35" s="190"/>
      <c r="R35" s="190"/>
      <c r="S35" s="190"/>
    </row>
    <row r="36" spans="1:19" x14ac:dyDescent="0.25">
      <c r="A36" s="183" t="s">
        <v>179</v>
      </c>
      <c r="B36" s="184">
        <v>2019</v>
      </c>
      <c r="C36" s="185">
        <v>14.25</v>
      </c>
      <c r="D36" s="185">
        <v>20.172000000000001</v>
      </c>
      <c r="E36" s="185">
        <v>10.978999999999999</v>
      </c>
      <c r="F36" s="185">
        <v>13.576000000000001</v>
      </c>
      <c r="G36" s="185">
        <v>23</v>
      </c>
      <c r="H36" s="185">
        <v>12.47</v>
      </c>
      <c r="I36" s="185"/>
      <c r="J36" s="186"/>
      <c r="K36" s="185"/>
      <c r="L36" s="185"/>
      <c r="M36" s="187"/>
      <c r="N36" s="187"/>
      <c r="O36" s="187"/>
      <c r="P36" s="187"/>
      <c r="Q36" s="187"/>
      <c r="R36" s="187"/>
      <c r="S36" s="187"/>
    </row>
    <row r="37" spans="1:19" x14ac:dyDescent="0.25">
      <c r="A37" s="222" t="s">
        <v>179</v>
      </c>
      <c r="B37" s="223">
        <v>2020</v>
      </c>
      <c r="C37" s="188">
        <v>14.936</v>
      </c>
      <c r="D37" s="188">
        <v>21.141999999999999</v>
      </c>
      <c r="E37" s="188">
        <v>11.507999999999999</v>
      </c>
      <c r="F37" s="188">
        <v>14.228</v>
      </c>
      <c r="G37" s="188">
        <v>24.106999999999999</v>
      </c>
      <c r="H37" s="188">
        <v>13.067</v>
      </c>
      <c r="I37" s="188"/>
      <c r="J37" s="189"/>
      <c r="K37" s="188"/>
      <c r="L37" s="188"/>
      <c r="M37" s="190"/>
      <c r="N37" s="190"/>
      <c r="O37" s="190"/>
      <c r="P37" s="190"/>
      <c r="Q37" s="190"/>
      <c r="R37" s="190"/>
      <c r="S37" s="190"/>
    </row>
    <row r="38" spans="1:19" x14ac:dyDescent="0.25">
      <c r="A38" s="183" t="s">
        <v>180</v>
      </c>
      <c r="B38" s="184">
        <v>2019</v>
      </c>
      <c r="C38" s="185">
        <v>14.52</v>
      </c>
      <c r="D38" s="185">
        <v>20.571000000000002</v>
      </c>
      <c r="E38" s="185">
        <v>16.664000000000001</v>
      </c>
      <c r="F38" s="185">
        <v>13.843999999999999</v>
      </c>
      <c r="G38" s="185">
        <v>23.452999999999999</v>
      </c>
      <c r="H38" s="185">
        <v>19.216000000000001</v>
      </c>
      <c r="I38" s="185"/>
      <c r="J38" s="186"/>
      <c r="K38" s="185"/>
      <c r="L38" s="185"/>
      <c r="M38" s="187"/>
      <c r="N38" s="187"/>
      <c r="O38" s="187"/>
      <c r="P38" s="187"/>
      <c r="Q38" s="187"/>
      <c r="R38" s="187"/>
      <c r="S38" s="187"/>
    </row>
    <row r="39" spans="1:19" x14ac:dyDescent="0.25">
      <c r="A39" s="222" t="s">
        <v>180</v>
      </c>
      <c r="B39" s="223">
        <v>2020</v>
      </c>
      <c r="C39" s="188">
        <f>213.9/14</f>
        <v>15.278571428571428</v>
      </c>
      <c r="D39" s="188">
        <f>1666.7/77</f>
        <v>21.645454545454545</v>
      </c>
      <c r="E39" s="188">
        <f>333.9/19.1</f>
        <v>17.481675392670155</v>
      </c>
      <c r="F39" s="188">
        <f>728.3/50</f>
        <v>14.565999999999999</v>
      </c>
      <c r="G39" s="188">
        <f>185.05/7.5</f>
        <v>24.673333333333336</v>
      </c>
      <c r="H39" s="188">
        <f>270.1/13.4</f>
        <v>20.156716417910449</v>
      </c>
      <c r="I39" s="188"/>
      <c r="J39" s="189"/>
      <c r="K39" s="188"/>
      <c r="L39" s="188"/>
      <c r="M39" s="190"/>
      <c r="N39" s="190"/>
      <c r="O39" s="190"/>
      <c r="P39" s="190"/>
      <c r="Q39" s="190"/>
      <c r="R39" s="190"/>
      <c r="S39" s="190"/>
    </row>
    <row r="40" spans="1:19" x14ac:dyDescent="0.25">
      <c r="A40" s="183" t="s">
        <v>181</v>
      </c>
      <c r="B40" s="184">
        <v>2019</v>
      </c>
      <c r="C40" s="185">
        <v>14.332000000000001</v>
      </c>
      <c r="D40" s="185">
        <v>20.161000000000001</v>
      </c>
      <c r="E40" s="185">
        <v>16.452999999999999</v>
      </c>
      <c r="F40" s="185">
        <v>13.566000000000001</v>
      </c>
      <c r="G40" s="185">
        <v>0</v>
      </c>
      <c r="H40" s="185">
        <v>18.975999999999999</v>
      </c>
      <c r="I40" s="185">
        <v>22.981999999999999</v>
      </c>
      <c r="J40" s="186">
        <v>25.763999999999999</v>
      </c>
      <c r="K40" s="185"/>
      <c r="L40" s="185"/>
      <c r="M40" s="187"/>
      <c r="N40" s="187"/>
      <c r="O40" s="187"/>
      <c r="P40" s="187"/>
      <c r="Q40" s="187"/>
      <c r="R40" s="187"/>
      <c r="S40" s="187"/>
    </row>
    <row r="41" spans="1:19" x14ac:dyDescent="0.25">
      <c r="A41" s="222" t="s">
        <v>181</v>
      </c>
      <c r="B41" s="223">
        <v>2020</v>
      </c>
      <c r="C41" s="188">
        <v>14.73</v>
      </c>
      <c r="D41" s="188">
        <v>20.867000000000001</v>
      </c>
      <c r="E41" s="188">
        <v>17.029</v>
      </c>
      <c r="F41" s="188">
        <v>14.041</v>
      </c>
      <c r="G41" s="188">
        <v>0</v>
      </c>
      <c r="H41" s="188">
        <v>19.64</v>
      </c>
      <c r="I41" s="188">
        <v>23.768000000000001</v>
      </c>
      <c r="J41" s="189">
        <v>26.666</v>
      </c>
      <c r="K41" s="188"/>
      <c r="L41" s="188"/>
      <c r="M41" s="190"/>
      <c r="N41" s="190"/>
      <c r="O41" s="190"/>
      <c r="P41" s="190"/>
      <c r="Q41" s="190"/>
      <c r="R41" s="190"/>
      <c r="S41" s="190"/>
    </row>
    <row r="42" spans="1:19" x14ac:dyDescent="0.25">
      <c r="A42" s="183" t="s">
        <v>182</v>
      </c>
      <c r="B42" s="184">
        <v>2019</v>
      </c>
      <c r="C42" s="192">
        <v>50.210999999999999</v>
      </c>
      <c r="D42" s="192"/>
      <c r="E42" s="192"/>
      <c r="F42" s="192"/>
      <c r="G42" s="192"/>
      <c r="H42" s="192"/>
      <c r="I42" s="192"/>
      <c r="J42" s="186"/>
      <c r="K42" s="193">
        <f>($M42/$N42+O42*$C42)/Q42</f>
        <v>42.848655006284041</v>
      </c>
      <c r="L42" s="193">
        <f>($M42/$N42+P42*$C42)/R42</f>
        <v>42.601596449447932</v>
      </c>
      <c r="M42" s="225">
        <f>675300*1.15*1.125</f>
        <v>873669.37499999988</v>
      </c>
      <c r="N42" s="225">
        <v>155</v>
      </c>
      <c r="O42" s="225">
        <v>282</v>
      </c>
      <c r="P42" s="225">
        <v>267</v>
      </c>
      <c r="Q42" s="225">
        <v>462</v>
      </c>
      <c r="R42" s="225">
        <v>447</v>
      </c>
      <c r="S42" s="225"/>
    </row>
    <row r="43" spans="1:19" x14ac:dyDescent="0.25">
      <c r="A43" s="222" t="s">
        <v>182</v>
      </c>
      <c r="B43" s="223">
        <v>2020</v>
      </c>
      <c r="C43" s="226">
        <v>53.323999999999998</v>
      </c>
      <c r="D43" s="226"/>
      <c r="E43" s="226"/>
      <c r="F43" s="226"/>
      <c r="G43" s="226"/>
      <c r="H43" s="226"/>
      <c r="I43" s="226"/>
      <c r="J43" s="189"/>
      <c r="K43" s="194">
        <f>($M43/$N43+O43*$C43)/Q43</f>
        <v>46.273845648303308</v>
      </c>
      <c r="L43" s="194">
        <f>($M43/$N43+P43*$C43)/R43</f>
        <v>46.037263287508111</v>
      </c>
      <c r="M43" s="227">
        <f>675300*1.15*1.125*1.125</f>
        <v>982878.04687499988</v>
      </c>
      <c r="N43" s="228">
        <v>155</v>
      </c>
      <c r="O43" s="228">
        <v>282</v>
      </c>
      <c r="P43" s="228">
        <v>267</v>
      </c>
      <c r="Q43" s="228">
        <v>462</v>
      </c>
      <c r="R43" s="228">
        <v>447</v>
      </c>
      <c r="S43" s="190"/>
    </row>
    <row r="44" spans="1:19" x14ac:dyDescent="0.25">
      <c r="A44" s="183" t="s">
        <v>183</v>
      </c>
      <c r="B44" s="184">
        <v>2019</v>
      </c>
      <c r="C44" s="192">
        <v>43.174999999999997</v>
      </c>
      <c r="D44" s="192"/>
      <c r="E44" s="192"/>
      <c r="F44" s="192"/>
      <c r="G44" s="192"/>
      <c r="H44" s="192"/>
      <c r="I44" s="192"/>
      <c r="J44" s="186"/>
      <c r="K44" s="185"/>
      <c r="L44" s="185"/>
      <c r="M44" s="187"/>
      <c r="N44" s="187"/>
      <c r="O44" s="187"/>
      <c r="P44" s="187"/>
      <c r="Q44" s="187"/>
      <c r="R44" s="187"/>
      <c r="S44" s="187"/>
    </row>
    <row r="45" spans="1:19" x14ac:dyDescent="0.25">
      <c r="A45" s="222" t="s">
        <v>183</v>
      </c>
      <c r="B45" s="223">
        <v>2020</v>
      </c>
      <c r="C45" s="226">
        <v>45.850999999999999</v>
      </c>
      <c r="D45" s="226"/>
      <c r="E45" s="226"/>
      <c r="F45" s="226"/>
      <c r="G45" s="226"/>
      <c r="H45" s="226"/>
      <c r="I45" s="226"/>
      <c r="J45" s="189"/>
      <c r="K45" s="188"/>
      <c r="L45" s="188"/>
      <c r="M45" s="190"/>
      <c r="N45" s="190"/>
      <c r="O45" s="190"/>
      <c r="P45" s="190"/>
      <c r="Q45" s="190"/>
      <c r="R45" s="190"/>
      <c r="S45" s="190"/>
    </row>
    <row r="46" spans="1:19" x14ac:dyDescent="0.25">
      <c r="A46" s="183" t="s">
        <v>184</v>
      </c>
      <c r="B46" s="184">
        <v>2019</v>
      </c>
      <c r="C46" s="192">
        <v>37.207999999999998</v>
      </c>
      <c r="D46" s="192"/>
      <c r="E46" s="192"/>
      <c r="F46" s="192"/>
      <c r="G46" s="192"/>
      <c r="H46" s="192"/>
      <c r="I46" s="192"/>
      <c r="J46" s="186"/>
      <c r="K46" s="193">
        <v>34.91175890238793</v>
      </c>
      <c r="L46" s="193">
        <v>34.834703831998269</v>
      </c>
      <c r="M46" s="225">
        <v>873669.37499999988</v>
      </c>
      <c r="N46" s="225">
        <v>155</v>
      </c>
      <c r="O46" s="225">
        <v>282</v>
      </c>
      <c r="P46" s="225">
        <v>267</v>
      </c>
      <c r="Q46" s="225">
        <v>462</v>
      </c>
      <c r="R46" s="225">
        <v>447</v>
      </c>
      <c r="S46" s="225"/>
    </row>
    <row r="47" spans="1:19" x14ac:dyDescent="0.25">
      <c r="A47" s="222" t="s">
        <v>184</v>
      </c>
      <c r="B47" s="223">
        <v>2020</v>
      </c>
      <c r="C47" s="226">
        <v>39.514000000000003</v>
      </c>
      <c r="D47" s="226"/>
      <c r="E47" s="226"/>
      <c r="F47" s="226"/>
      <c r="G47" s="226"/>
      <c r="H47" s="226"/>
      <c r="I47" s="226"/>
      <c r="J47" s="189"/>
      <c r="K47" s="194">
        <f>($M47/$N47+O47*$C47)/Q47</f>
        <v>37.844365128822787</v>
      </c>
      <c r="L47" s="194">
        <f>($M47/$N47+P47*$C47)/R47</f>
        <v>37.78833711301148</v>
      </c>
      <c r="M47" s="228">
        <f>M43</f>
        <v>982878.04687499988</v>
      </c>
      <c r="N47" s="228">
        <v>155</v>
      </c>
      <c r="O47" s="228">
        <v>282</v>
      </c>
      <c r="P47" s="228">
        <v>267</v>
      </c>
      <c r="Q47" s="228">
        <v>462</v>
      </c>
      <c r="R47" s="228">
        <v>447</v>
      </c>
      <c r="S47" s="190"/>
    </row>
    <row r="48" spans="1:19" x14ac:dyDescent="0.25">
      <c r="A48" s="201"/>
      <c r="B48" s="202"/>
      <c r="C48" s="203"/>
      <c r="D48" s="203"/>
      <c r="E48" s="203"/>
      <c r="F48" s="203"/>
      <c r="G48" s="203"/>
      <c r="H48" s="203"/>
      <c r="I48" s="203"/>
      <c r="J48" s="229"/>
      <c r="K48" s="204"/>
      <c r="L48" s="204"/>
      <c r="M48" s="230"/>
      <c r="N48" s="230"/>
      <c r="O48" s="230"/>
      <c r="P48" s="230"/>
      <c r="Q48" s="230"/>
      <c r="R48" s="230"/>
      <c r="S48" s="230"/>
    </row>
    <row r="49" spans="1:19" x14ac:dyDescent="0.25">
      <c r="A49" s="183" t="s">
        <v>198</v>
      </c>
      <c r="B49" s="184">
        <v>2019</v>
      </c>
      <c r="C49" s="185">
        <v>15</v>
      </c>
      <c r="D49" s="185">
        <v>21.245999999999999</v>
      </c>
      <c r="E49" s="185">
        <v>11.571</v>
      </c>
      <c r="F49" s="185">
        <v>14.298</v>
      </c>
      <c r="G49" s="185">
        <v>24.227</v>
      </c>
      <c r="H49" s="185">
        <v>13.199</v>
      </c>
      <c r="I49" s="192"/>
      <c r="J49" s="186"/>
      <c r="K49" s="185"/>
      <c r="L49" s="185"/>
      <c r="M49" s="187"/>
      <c r="N49" s="187"/>
      <c r="O49" s="187"/>
      <c r="P49" s="187"/>
      <c r="Q49" s="187"/>
      <c r="R49" s="187"/>
      <c r="S49" s="187"/>
    </row>
    <row r="50" spans="1:19" x14ac:dyDescent="0.25">
      <c r="A50" s="222" t="s">
        <v>198</v>
      </c>
      <c r="B50" s="223">
        <v>2020</v>
      </c>
      <c r="C50" s="188">
        <v>15.792999999999999</v>
      </c>
      <c r="D50" s="188">
        <v>22.373999999999999</v>
      </c>
      <c r="E50" s="188">
        <v>12.183</v>
      </c>
      <c r="F50" s="188">
        <v>15.055999999999999</v>
      </c>
      <c r="G50" s="188">
        <v>25.507000000000001</v>
      </c>
      <c r="H50" s="188">
        <v>13.813000000000001</v>
      </c>
      <c r="I50" s="226"/>
      <c r="J50" s="189"/>
      <c r="K50" s="188"/>
      <c r="L50" s="188"/>
      <c r="M50" s="190"/>
      <c r="N50" s="190"/>
      <c r="O50" s="190"/>
      <c r="P50" s="190"/>
      <c r="Q50" s="190"/>
      <c r="R50" s="190"/>
      <c r="S50" s="190"/>
    </row>
    <row r="51" spans="1:19" x14ac:dyDescent="0.25">
      <c r="A51" s="183" t="s">
        <v>199</v>
      </c>
      <c r="B51" s="184">
        <v>2019</v>
      </c>
      <c r="C51" s="185">
        <v>13.128</v>
      </c>
      <c r="D51" s="185">
        <v>18.588999999999999</v>
      </c>
      <c r="E51" s="185">
        <v>0</v>
      </c>
      <c r="F51" s="185">
        <v>12.51</v>
      </c>
      <c r="G51" s="185">
        <v>21.213000000000001</v>
      </c>
      <c r="H51" s="185">
        <v>0</v>
      </c>
      <c r="I51" s="192"/>
      <c r="J51" s="186"/>
      <c r="K51" s="185"/>
      <c r="L51" s="185"/>
      <c r="M51" s="187"/>
      <c r="N51" s="187"/>
      <c r="O51" s="187"/>
      <c r="P51" s="187"/>
      <c r="Q51" s="187"/>
      <c r="R51" s="187"/>
      <c r="S51" s="187"/>
    </row>
    <row r="52" spans="1:19" x14ac:dyDescent="0.25">
      <c r="A52" s="222" t="s">
        <v>199</v>
      </c>
      <c r="B52" s="223">
        <v>2020</v>
      </c>
      <c r="C52" s="188">
        <f>192.1/14</f>
        <v>13.721428571428572</v>
      </c>
      <c r="D52" s="188">
        <f>1495.8/77</f>
        <v>19.425974025974025</v>
      </c>
      <c r="E52" s="188">
        <v>0</v>
      </c>
      <c r="F52" s="188">
        <f>653.6/50</f>
        <v>13.072000000000001</v>
      </c>
      <c r="G52" s="188">
        <f>166.3/7.5</f>
        <v>22.173333333333336</v>
      </c>
      <c r="H52" s="188">
        <v>0</v>
      </c>
      <c r="I52" s="226"/>
      <c r="J52" s="189"/>
      <c r="K52" s="188"/>
      <c r="L52" s="188"/>
      <c r="M52" s="190"/>
      <c r="N52" s="190"/>
      <c r="O52" s="190"/>
      <c r="P52" s="190"/>
      <c r="Q52" s="190"/>
      <c r="R52" s="190"/>
      <c r="S52" s="190"/>
    </row>
    <row r="53" spans="1:19" x14ac:dyDescent="0.25">
      <c r="A53" s="183" t="s">
        <v>200</v>
      </c>
      <c r="B53" s="184">
        <v>2019</v>
      </c>
      <c r="C53" s="185"/>
      <c r="D53" s="185"/>
      <c r="E53" s="185"/>
      <c r="F53" s="185"/>
      <c r="G53" s="185"/>
      <c r="H53" s="185"/>
      <c r="I53" s="192"/>
      <c r="J53" s="186"/>
      <c r="K53" s="185"/>
      <c r="L53" s="185"/>
      <c r="M53" s="187"/>
      <c r="N53" s="187"/>
      <c r="O53" s="187"/>
      <c r="P53" s="187"/>
      <c r="Q53" s="187"/>
      <c r="R53" s="187"/>
      <c r="S53" s="187">
        <v>12.853</v>
      </c>
    </row>
    <row r="54" spans="1:19" x14ac:dyDescent="0.25">
      <c r="A54" s="222" t="s">
        <v>200</v>
      </c>
      <c r="B54" s="223">
        <v>2020</v>
      </c>
      <c r="C54" s="188"/>
      <c r="D54" s="188"/>
      <c r="E54" s="188"/>
      <c r="F54" s="188"/>
      <c r="G54" s="188"/>
      <c r="H54" s="188"/>
      <c r="I54" s="226"/>
      <c r="J54" s="189"/>
      <c r="K54" s="188"/>
      <c r="L54" s="188"/>
      <c r="M54" s="190"/>
      <c r="N54" s="190"/>
      <c r="O54" s="190"/>
      <c r="P54" s="190"/>
      <c r="Q54" s="190"/>
      <c r="R54" s="190"/>
      <c r="S54" s="188">
        <v>13.47</v>
      </c>
    </row>
    <row r="55" spans="1:19" x14ac:dyDescent="0.25">
      <c r="A55" s="183" t="s">
        <v>201</v>
      </c>
      <c r="B55" s="184">
        <v>2019</v>
      </c>
      <c r="C55" s="185"/>
      <c r="D55" s="185"/>
      <c r="E55" s="185"/>
      <c r="F55" s="185"/>
      <c r="G55" s="185"/>
      <c r="H55" s="185"/>
      <c r="I55" s="192"/>
      <c r="J55" s="186"/>
      <c r="K55" s="185"/>
      <c r="L55" s="185"/>
      <c r="M55" s="187"/>
      <c r="N55" s="187"/>
      <c r="O55" s="187"/>
      <c r="P55" s="187"/>
      <c r="Q55" s="187"/>
      <c r="R55" s="187"/>
      <c r="S55" s="185">
        <v>13.69</v>
      </c>
    </row>
    <row r="56" spans="1:19" x14ac:dyDescent="0.25">
      <c r="A56" s="222" t="s">
        <v>201</v>
      </c>
      <c r="B56" s="223">
        <v>2020</v>
      </c>
      <c r="C56" s="188"/>
      <c r="D56" s="188"/>
      <c r="E56" s="188"/>
      <c r="F56" s="188"/>
      <c r="G56" s="188"/>
      <c r="H56" s="188"/>
      <c r="I56" s="226"/>
      <c r="J56" s="189"/>
      <c r="K56" s="188"/>
      <c r="L56" s="188"/>
      <c r="M56" s="190"/>
      <c r="N56" s="190"/>
      <c r="O56" s="190"/>
      <c r="P56" s="190"/>
      <c r="Q56" s="190"/>
      <c r="R56" s="190"/>
      <c r="S56" s="188">
        <v>14.347</v>
      </c>
    </row>
    <row r="57" spans="1:19" x14ac:dyDescent="0.25">
      <c r="A57" s="205"/>
      <c r="B57" s="206"/>
      <c r="C57" s="207"/>
      <c r="D57" s="207"/>
      <c r="E57" s="207"/>
      <c r="F57" s="207"/>
      <c r="G57" s="207"/>
      <c r="H57" s="207"/>
      <c r="I57" s="207"/>
      <c r="J57" s="231"/>
      <c r="K57" s="208"/>
      <c r="L57" s="208"/>
      <c r="M57" s="232"/>
      <c r="N57" s="232"/>
      <c r="O57" s="232"/>
      <c r="P57" s="232"/>
      <c r="Q57" s="232"/>
      <c r="R57" s="232"/>
      <c r="S57" s="232"/>
    </row>
    <row r="58" spans="1:19" ht="45" x14ac:dyDescent="0.25">
      <c r="A58" s="191" t="s">
        <v>207</v>
      </c>
      <c r="B58" s="184">
        <v>2019</v>
      </c>
      <c r="C58" s="185">
        <v>13.957000000000001</v>
      </c>
      <c r="D58" s="185">
        <v>19.780999999999999</v>
      </c>
      <c r="E58" s="185">
        <v>16.140999999999998</v>
      </c>
      <c r="F58" s="185">
        <v>17.306000000000001</v>
      </c>
      <c r="G58" s="185">
        <v>22.585999999999999</v>
      </c>
      <c r="H58" s="185">
        <v>18.619</v>
      </c>
      <c r="I58" s="192"/>
      <c r="J58" s="186"/>
      <c r="K58" s="185"/>
      <c r="L58" s="185"/>
      <c r="M58" s="187"/>
      <c r="N58" s="187"/>
      <c r="O58" s="187"/>
      <c r="P58" s="187"/>
      <c r="Q58" s="187"/>
      <c r="R58" s="187"/>
      <c r="S58" s="187"/>
    </row>
    <row r="59" spans="1:19" ht="45" x14ac:dyDescent="0.25">
      <c r="A59" s="224" t="s">
        <v>207</v>
      </c>
      <c r="B59" s="223">
        <v>2020</v>
      </c>
      <c r="C59" s="188">
        <v>14.7</v>
      </c>
      <c r="D59" s="188">
        <v>20.83</v>
      </c>
      <c r="E59" s="188">
        <v>16.995000000000001</v>
      </c>
      <c r="F59" s="188">
        <v>18.224</v>
      </c>
      <c r="G59" s="188">
        <v>23.786999999999999</v>
      </c>
      <c r="H59" s="188">
        <v>19.603999999999999</v>
      </c>
      <c r="I59" s="226"/>
      <c r="J59" s="189"/>
      <c r="K59" s="188"/>
      <c r="L59" s="188"/>
      <c r="M59" s="190"/>
      <c r="N59" s="190"/>
      <c r="O59" s="190"/>
      <c r="P59" s="190"/>
      <c r="Q59" s="190"/>
      <c r="R59" s="190"/>
      <c r="S59" s="188"/>
    </row>
  </sheetData>
  <sheetProtection algorithmName="SHA-512" hashValue="5egn2uYlf1rqIu+S8DNVjPLW04FqPVVcerkRrVMzPe1PZG3B2a1BQZvx10p5KD81JvGfZ7wmg8j1keLKov6e9g==" saltValue="pSMc9nWB7xaRuENXmQOKY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2020-01-15T16:16:06Z</cp:lastPrinted>
  <dcterms:created xsi:type="dcterms:W3CDTF">2007-01-02T12:57:15Z</dcterms:created>
  <dcterms:modified xsi:type="dcterms:W3CDTF">2020-01-22T14:09:27Z</dcterms:modified>
</cp:coreProperties>
</file>