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1\HealthMan\"/>
    </mc:Choice>
  </mc:AlternateContent>
  <xr:revisionPtr revIDLastSave="0" documentId="8_{CA867D51-9000-4527-A9E7-95C72434BDC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Tariffs'!$A$1:$AZ$66</definedName>
    <definedName name="_xlnm.Print_Titles" localSheetId="0">'Comparative Tariffs'!$A:$E,'Comparative Tariffs'!$1:$7</definedName>
    <definedName name="_xlnm.Print_Titles" localSheetId="1">RCF!$1:$3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W16" i="1" l="1"/>
  <c r="H59" i="2"/>
  <c r="G59" i="2"/>
  <c r="F59" i="2"/>
  <c r="E59" i="2"/>
  <c r="D59" i="2"/>
  <c r="C59" i="2"/>
  <c r="G52" i="2"/>
  <c r="F52" i="2"/>
  <c r="D52" i="2"/>
  <c r="C52" i="2"/>
  <c r="H50" i="2"/>
  <c r="G50" i="2"/>
  <c r="F50" i="2"/>
  <c r="E50" i="2"/>
  <c r="D50" i="2"/>
  <c r="C50" i="2"/>
  <c r="C47" i="2"/>
  <c r="C45" i="2"/>
  <c r="M43" i="2"/>
  <c r="M47" i="2" s="1"/>
  <c r="C43" i="2"/>
  <c r="G39" i="2"/>
  <c r="E39" i="2"/>
  <c r="D39" i="2"/>
  <c r="H37" i="2"/>
  <c r="G37" i="2"/>
  <c r="F37" i="2"/>
  <c r="E37" i="2"/>
  <c r="D37" i="2"/>
  <c r="C37" i="2"/>
  <c r="H33" i="2"/>
  <c r="F33" i="2"/>
  <c r="E33" i="2"/>
  <c r="D33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W27" i="1"/>
  <c r="F16" i="1"/>
  <c r="K43" i="2" l="1"/>
  <c r="L47" i="2"/>
  <c r="K47" i="2"/>
  <c r="L43" i="2"/>
  <c r="E16" i="1"/>
  <c r="D16" i="1" s="1"/>
  <c r="G16" i="1"/>
  <c r="H16" i="1"/>
  <c r="I16" i="1" s="1"/>
  <c r="V16" i="1"/>
  <c r="X16" i="1"/>
  <c r="AA16" i="1" s="1"/>
  <c r="Y16" i="1"/>
  <c r="AF16" i="1"/>
  <c r="AG16" i="1"/>
  <c r="AH16" i="1"/>
  <c r="AI16" i="1"/>
  <c r="AK16" i="1"/>
  <c r="AM16" i="1"/>
  <c r="AO16" i="1"/>
  <c r="AN16" i="1" s="1"/>
  <c r="AP16" i="1" s="1"/>
  <c r="AR16" i="1"/>
  <c r="AS16" i="1"/>
  <c r="AT16" i="1"/>
  <c r="AV16" i="1"/>
  <c r="AX16" i="1"/>
  <c r="AZ16" i="1"/>
  <c r="AY16" i="1" s="1"/>
  <c r="E42" i="1"/>
  <c r="D42" i="1" s="1"/>
  <c r="G42" i="1"/>
  <c r="R42" i="1"/>
  <c r="Q42" i="1" s="1"/>
  <c r="T42" i="1" s="1"/>
  <c r="V42" i="1"/>
  <c r="U42" i="1" s="1"/>
  <c r="X42" i="1"/>
  <c r="W42" i="1" s="1"/>
  <c r="Y42" i="1" s="1"/>
  <c r="AF42" i="1"/>
  <c r="AE42" i="1" s="1"/>
  <c r="AK42" i="1"/>
  <c r="AJ42" i="1" s="1"/>
  <c r="AM42" i="1"/>
  <c r="AL42" i="1" s="1"/>
  <c r="AO42" i="1"/>
  <c r="AN42" i="1" s="1"/>
  <c r="AP42" i="1" s="1"/>
  <c r="AR42" i="1"/>
  <c r="AQ42" i="1" s="1"/>
  <c r="AS42" i="1" s="1"/>
  <c r="AV42" i="1"/>
  <c r="AU42" i="1" s="1"/>
  <c r="AX42" i="1"/>
  <c r="AW42" i="1" s="1"/>
  <c r="AZ42" i="1"/>
  <c r="AY42" i="1" s="1"/>
  <c r="E43" i="1"/>
  <c r="D43" i="1" s="1"/>
  <c r="G43" i="1"/>
  <c r="I43" i="1" s="1"/>
  <c r="R43" i="1"/>
  <c r="Q43" i="1" s="1"/>
  <c r="V43" i="1"/>
  <c r="U43" i="1" s="1"/>
  <c r="X43" i="1"/>
  <c r="AA43" i="1" s="1"/>
  <c r="AF43" i="1"/>
  <c r="AE43" i="1" s="1"/>
  <c r="AG43" i="1" s="1"/>
  <c r="AK43" i="1"/>
  <c r="AJ43" i="1" s="1"/>
  <c r="AM43" i="1"/>
  <c r="AL43" i="1" s="1"/>
  <c r="AO43" i="1"/>
  <c r="AN43" i="1" s="1"/>
  <c r="AP43" i="1" s="1"/>
  <c r="AR43" i="1"/>
  <c r="AQ43" i="1" s="1"/>
  <c r="AT43" i="1" s="1"/>
  <c r="AV43" i="1"/>
  <c r="AU43" i="1" s="1"/>
  <c r="AX43" i="1"/>
  <c r="AW43" i="1" s="1"/>
  <c r="AZ43" i="1"/>
  <c r="AY43" i="1" s="1"/>
  <c r="E48" i="1"/>
  <c r="D48" i="1" s="1"/>
  <c r="G48" i="1"/>
  <c r="F48" i="1" s="1"/>
  <c r="R48" i="1"/>
  <c r="Q48" i="1" s="1"/>
  <c r="S48" i="1" s="1"/>
  <c r="V48" i="1"/>
  <c r="U48" i="1" s="1"/>
  <c r="X48" i="1"/>
  <c r="AC48" i="1" s="1"/>
  <c r="AF48" i="1"/>
  <c r="AE48" i="1" s="1"/>
  <c r="AG48" i="1" s="1"/>
  <c r="AK48" i="1"/>
  <c r="AJ48" i="1" s="1"/>
  <c r="AM48" i="1"/>
  <c r="AL48" i="1" s="1"/>
  <c r="AO48" i="1"/>
  <c r="AN48" i="1" s="1"/>
  <c r="AP48" i="1" s="1"/>
  <c r="AR48" i="1"/>
  <c r="AQ48" i="1" s="1"/>
  <c r="AT48" i="1" s="1"/>
  <c r="AV48" i="1"/>
  <c r="AU48" i="1" s="1"/>
  <c r="AX48" i="1"/>
  <c r="AW48" i="1" s="1"/>
  <c r="AZ48" i="1"/>
  <c r="AY48" i="1" s="1"/>
  <c r="E49" i="1"/>
  <c r="D49" i="1" s="1"/>
  <c r="G49" i="1"/>
  <c r="R49" i="1"/>
  <c r="Q49" i="1" s="1"/>
  <c r="S49" i="1" s="1"/>
  <c r="V49" i="1"/>
  <c r="U49" i="1" s="1"/>
  <c r="X49" i="1"/>
  <c r="AA49" i="1" s="1"/>
  <c r="AF49" i="1"/>
  <c r="AE49" i="1" s="1"/>
  <c r="AK49" i="1"/>
  <c r="AJ49" i="1" s="1"/>
  <c r="AM49" i="1"/>
  <c r="AL49" i="1" s="1"/>
  <c r="AO49" i="1"/>
  <c r="AN49" i="1" s="1"/>
  <c r="AP49" i="1" s="1"/>
  <c r="AR49" i="1"/>
  <c r="AQ49" i="1" s="1"/>
  <c r="AV49" i="1"/>
  <c r="AU49" i="1" s="1"/>
  <c r="AX49" i="1"/>
  <c r="AW49" i="1" s="1"/>
  <c r="AZ49" i="1"/>
  <c r="AY49" i="1" s="1"/>
  <c r="E51" i="1"/>
  <c r="D51" i="1" s="1"/>
  <c r="G51" i="1"/>
  <c r="I51" i="1" s="1"/>
  <c r="J51" i="1" s="1"/>
  <c r="R51" i="1"/>
  <c r="Q51" i="1" s="1"/>
  <c r="T51" i="1" s="1"/>
  <c r="V51" i="1"/>
  <c r="U51" i="1" s="1"/>
  <c r="X51" i="1"/>
  <c r="AC51" i="1" s="1"/>
  <c r="AF51" i="1"/>
  <c r="AE51" i="1" s="1"/>
  <c r="AG51" i="1" s="1"/>
  <c r="AK51" i="1"/>
  <c r="AJ51" i="1" s="1"/>
  <c r="AM51" i="1"/>
  <c r="AL51" i="1" s="1"/>
  <c r="AO51" i="1"/>
  <c r="AN51" i="1" s="1"/>
  <c r="AP51" i="1" s="1"/>
  <c r="AR51" i="1"/>
  <c r="AQ51" i="1" s="1"/>
  <c r="AS51" i="1" s="1"/>
  <c r="AV51" i="1"/>
  <c r="AU51" i="1" s="1"/>
  <c r="AX51" i="1"/>
  <c r="AW51" i="1" s="1"/>
  <c r="AZ51" i="1"/>
  <c r="AY51" i="1" s="1"/>
  <c r="E53" i="1"/>
  <c r="D53" i="1" s="1"/>
  <c r="G53" i="1"/>
  <c r="I53" i="1" s="1"/>
  <c r="R53" i="1"/>
  <c r="Q53" i="1" s="1"/>
  <c r="V53" i="1"/>
  <c r="U53" i="1" s="1"/>
  <c r="X53" i="1"/>
  <c r="Z53" i="1" s="1"/>
  <c r="AF53" i="1"/>
  <c r="AE53" i="1" s="1"/>
  <c r="AG53" i="1" s="1"/>
  <c r="AK53" i="1"/>
  <c r="AJ53" i="1" s="1"/>
  <c r="AM53" i="1"/>
  <c r="AL53" i="1" s="1"/>
  <c r="AO53" i="1"/>
  <c r="AN53" i="1" s="1"/>
  <c r="AP53" i="1" s="1"/>
  <c r="AR53" i="1"/>
  <c r="AQ53" i="1" s="1"/>
  <c r="AS53" i="1" s="1"/>
  <c r="AV53" i="1"/>
  <c r="AU53" i="1" s="1"/>
  <c r="AX53" i="1"/>
  <c r="AW53" i="1" s="1"/>
  <c r="AZ53" i="1"/>
  <c r="AY53" i="1" s="1"/>
  <c r="E54" i="1"/>
  <c r="D54" i="1" s="1"/>
  <c r="G54" i="1"/>
  <c r="I54" i="1" s="1"/>
  <c r="R54" i="1"/>
  <c r="Q54" i="1" s="1"/>
  <c r="S54" i="1" s="1"/>
  <c r="V54" i="1"/>
  <c r="U54" i="1" s="1"/>
  <c r="X54" i="1"/>
  <c r="AF54" i="1"/>
  <c r="AE54" i="1" s="1"/>
  <c r="AG54" i="1" s="1"/>
  <c r="AK54" i="1"/>
  <c r="AJ54" i="1" s="1"/>
  <c r="AM54" i="1"/>
  <c r="AL54" i="1" s="1"/>
  <c r="AO54" i="1"/>
  <c r="AN54" i="1" s="1"/>
  <c r="AP54" i="1" s="1"/>
  <c r="AR54" i="1"/>
  <c r="AQ54" i="1" s="1"/>
  <c r="AT54" i="1" s="1"/>
  <c r="AV54" i="1"/>
  <c r="AU54" i="1" s="1"/>
  <c r="AX54" i="1"/>
  <c r="AW54" i="1" s="1"/>
  <c r="AZ54" i="1"/>
  <c r="AY54" i="1" s="1"/>
  <c r="E62" i="1"/>
  <c r="D62" i="1" s="1"/>
  <c r="G62" i="1"/>
  <c r="R62" i="1"/>
  <c r="Q62" i="1" s="1"/>
  <c r="T62" i="1" s="1"/>
  <c r="V62" i="1"/>
  <c r="U62" i="1" s="1"/>
  <c r="X62" i="1"/>
  <c r="AB62" i="1" s="1"/>
  <c r="AF62" i="1"/>
  <c r="AE62" i="1" s="1"/>
  <c r="AK62" i="1"/>
  <c r="AJ62" i="1" s="1"/>
  <c r="AM62" i="1"/>
  <c r="AL62" i="1" s="1"/>
  <c r="AO62" i="1"/>
  <c r="AN62" i="1" s="1"/>
  <c r="AP62" i="1" s="1"/>
  <c r="AR62" i="1"/>
  <c r="AQ62" i="1" s="1"/>
  <c r="AV62" i="1"/>
  <c r="AU62" i="1" s="1"/>
  <c r="AX62" i="1"/>
  <c r="AW62" i="1" s="1"/>
  <c r="AZ62" i="1"/>
  <c r="AY62" i="1" s="1"/>
  <c r="G64" i="1"/>
  <c r="I64" i="1" s="1"/>
  <c r="N64" i="1" s="1"/>
  <c r="R64" i="1"/>
  <c r="Q64" i="1" s="1"/>
  <c r="T64" i="1" s="1"/>
  <c r="V64" i="1"/>
  <c r="U64" i="1" s="1"/>
  <c r="X64" i="1"/>
  <c r="AA64" i="1" s="1"/>
  <c r="AF64" i="1"/>
  <c r="AE64" i="1" s="1"/>
  <c r="AG64" i="1" s="1"/>
  <c r="AK64" i="1"/>
  <c r="AJ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AX64" i="1"/>
  <c r="AW64" i="1" s="1"/>
  <c r="AZ64" i="1"/>
  <c r="E64" i="1" s="1"/>
  <c r="D64" i="1" s="1"/>
  <c r="E26" i="1"/>
  <c r="D26" i="1" s="1"/>
  <c r="G26" i="1"/>
  <c r="H26" i="1"/>
  <c r="I26" i="1" s="1"/>
  <c r="R26" i="1"/>
  <c r="S26" i="1"/>
  <c r="T26" i="1"/>
  <c r="V26" i="1"/>
  <c r="X26" i="1"/>
  <c r="AC26" i="1" s="1"/>
  <c r="Y26" i="1"/>
  <c r="AF26" i="1"/>
  <c r="AG26" i="1"/>
  <c r="AH26" i="1"/>
  <c r="AI26" i="1"/>
  <c r="AK26" i="1"/>
  <c r="AM26" i="1"/>
  <c r="AO26" i="1"/>
  <c r="AN26" i="1" s="1"/>
  <c r="AP26" i="1" s="1"/>
  <c r="AR26" i="1"/>
  <c r="AS26" i="1"/>
  <c r="AT26" i="1"/>
  <c r="AV26" i="1"/>
  <c r="AX26" i="1"/>
  <c r="AZ26" i="1"/>
  <c r="AD16" i="1" l="1"/>
  <c r="AC16" i="1"/>
  <c r="Z16" i="1"/>
  <c r="AB16" i="1"/>
  <c r="AD42" i="1"/>
  <c r="AC42" i="1"/>
  <c r="M16" i="1"/>
  <c r="J16" i="1"/>
  <c r="N16" i="1"/>
  <c r="K16" i="1"/>
  <c r="O16" i="1"/>
  <c r="L16" i="1"/>
  <c r="P16" i="1"/>
  <c r="AC43" i="1"/>
  <c r="AB43" i="1"/>
  <c r="AA42" i="1"/>
  <c r="AD64" i="1"/>
  <c r="Z42" i="1"/>
  <c r="AA51" i="1"/>
  <c r="AD43" i="1"/>
  <c r="W43" i="1"/>
  <c r="Y43" i="1" s="1"/>
  <c r="AB42" i="1"/>
  <c r="AC64" i="1"/>
  <c r="W64" i="1"/>
  <c r="Y64" i="1" s="1"/>
  <c r="F54" i="1"/>
  <c r="AC53" i="1"/>
  <c r="AD51" i="1"/>
  <c r="F51" i="1"/>
  <c r="F43" i="1"/>
  <c r="AB64" i="1"/>
  <c r="O51" i="1"/>
  <c r="Z43" i="1"/>
  <c r="AY64" i="1"/>
  <c r="Z64" i="1"/>
  <c r="K51" i="1"/>
  <c r="AB48" i="1"/>
  <c r="I48" i="1"/>
  <c r="L48" i="1" s="1"/>
  <c r="L54" i="1"/>
  <c r="M54" i="1"/>
  <c r="H54" i="1"/>
  <c r="P54" i="1"/>
  <c r="J53" i="1"/>
  <c r="M53" i="1"/>
  <c r="N53" i="1"/>
  <c r="O64" i="1"/>
  <c r="AB53" i="1"/>
  <c r="W53" i="1"/>
  <c r="Y53" i="1" s="1"/>
  <c r="F53" i="1"/>
  <c r="Z51" i="1"/>
  <c r="F64" i="1"/>
  <c r="AA53" i="1"/>
  <c r="AD53" i="1"/>
  <c r="AB51" i="1"/>
  <c r="W51" i="1"/>
  <c r="Y51" i="1" s="1"/>
  <c r="N51" i="1"/>
  <c r="AS43" i="1"/>
  <c r="AT42" i="1"/>
  <c r="AS54" i="1"/>
  <c r="AI53" i="1"/>
  <c r="AT51" i="1"/>
  <c r="AS48" i="1"/>
  <c r="S62" i="1"/>
  <c r="AI43" i="1"/>
  <c r="AT53" i="1"/>
  <c r="T49" i="1"/>
  <c r="AH43" i="1"/>
  <c r="AH53" i="1"/>
  <c r="T54" i="1"/>
  <c r="S51" i="1"/>
  <c r="T48" i="1"/>
  <c r="AS62" i="1"/>
  <c r="AT62" i="1"/>
  <c r="AS49" i="1"/>
  <c r="AT49" i="1"/>
  <c r="AG49" i="1"/>
  <c r="AH49" i="1"/>
  <c r="AI49" i="1"/>
  <c r="AG62" i="1"/>
  <c r="AH62" i="1"/>
  <c r="AI62" i="1"/>
  <c r="K43" i="1"/>
  <c r="O43" i="1"/>
  <c r="H43" i="1"/>
  <c r="L43" i="1"/>
  <c r="P43" i="1"/>
  <c r="W62" i="1"/>
  <c r="Y62" i="1" s="1"/>
  <c r="I62" i="1"/>
  <c r="F62" i="1"/>
  <c r="AH54" i="1"/>
  <c r="AI54" i="1"/>
  <c r="Z54" i="1"/>
  <c r="AD54" i="1"/>
  <c r="W54" i="1"/>
  <c r="Y54" i="1" s="1"/>
  <c r="AA54" i="1"/>
  <c r="AC49" i="1"/>
  <c r="Z49" i="1"/>
  <c r="AD49" i="1"/>
  <c r="N43" i="1"/>
  <c r="AH42" i="1"/>
  <c r="AG42" i="1"/>
  <c r="H64" i="1"/>
  <c r="L64" i="1"/>
  <c r="P64" i="1"/>
  <c r="M64" i="1"/>
  <c r="S43" i="1"/>
  <c r="T43" i="1"/>
  <c r="AT64" i="1"/>
  <c r="AI64" i="1"/>
  <c r="S64" i="1"/>
  <c r="K64" i="1"/>
  <c r="AC54" i="1"/>
  <c r="J54" i="1"/>
  <c r="N54" i="1"/>
  <c r="K54" i="1"/>
  <c r="O54" i="1"/>
  <c r="AI51" i="1"/>
  <c r="W49" i="1"/>
  <c r="Y49" i="1" s="1"/>
  <c r="I49" i="1"/>
  <c r="F49" i="1"/>
  <c r="AH48" i="1"/>
  <c r="AI48" i="1"/>
  <c r="Z48" i="1"/>
  <c r="AD48" i="1"/>
  <c r="W48" i="1"/>
  <c r="Y48" i="1" s="1"/>
  <c r="AA48" i="1"/>
  <c r="M43" i="1"/>
  <c r="S42" i="1"/>
  <c r="F42" i="1"/>
  <c r="I42" i="1"/>
  <c r="AC62" i="1"/>
  <c r="Z62" i="1"/>
  <c r="AD62" i="1"/>
  <c r="AH64" i="1"/>
  <c r="J64" i="1"/>
  <c r="AA62" i="1"/>
  <c r="AB54" i="1"/>
  <c r="S53" i="1"/>
  <c r="T53" i="1"/>
  <c r="K53" i="1"/>
  <c r="O53" i="1"/>
  <c r="H53" i="1"/>
  <c r="L53" i="1"/>
  <c r="P53" i="1"/>
  <c r="AH51" i="1"/>
  <c r="H51" i="1"/>
  <c r="L51" i="1"/>
  <c r="P51" i="1"/>
  <c r="M51" i="1"/>
  <c r="AB49" i="1"/>
  <c r="J43" i="1"/>
  <c r="AI42" i="1"/>
  <c r="AB26" i="1"/>
  <c r="AA26" i="1"/>
  <c r="AD26" i="1"/>
  <c r="Z26" i="1"/>
  <c r="M26" i="1"/>
  <c r="L26" i="1"/>
  <c r="J26" i="1"/>
  <c r="N26" i="1"/>
  <c r="P26" i="1"/>
  <c r="K26" i="1"/>
  <c r="O26" i="1"/>
  <c r="P48" i="1" l="1"/>
  <c r="J48" i="1"/>
  <c r="N48" i="1"/>
  <c r="M48" i="1"/>
  <c r="H48" i="1"/>
  <c r="O48" i="1"/>
  <c r="K48" i="1"/>
  <c r="M49" i="1"/>
  <c r="J49" i="1"/>
  <c r="N49" i="1"/>
  <c r="L49" i="1"/>
  <c r="O49" i="1"/>
  <c r="K49" i="1"/>
  <c r="H49" i="1"/>
  <c r="P49" i="1"/>
  <c r="H42" i="1"/>
  <c r="L42" i="1"/>
  <c r="P42" i="1"/>
  <c r="J42" i="1"/>
  <c r="N42" i="1"/>
  <c r="M42" i="1"/>
  <c r="O42" i="1"/>
  <c r="K42" i="1"/>
  <c r="M62" i="1"/>
  <c r="J62" i="1"/>
  <c r="N62" i="1"/>
  <c r="K62" i="1"/>
  <c r="H62" i="1"/>
  <c r="P62" i="1"/>
  <c r="L62" i="1"/>
  <c r="O62" i="1"/>
  <c r="AO11" i="1" l="1"/>
  <c r="AO12" i="1"/>
  <c r="AO13" i="1"/>
  <c r="AO14" i="1"/>
  <c r="AO15" i="1"/>
  <c r="AO17" i="1"/>
  <c r="AO18" i="1"/>
  <c r="AO19" i="1"/>
  <c r="AO20" i="1"/>
  <c r="AO21" i="1"/>
  <c r="AO22" i="1"/>
  <c r="AO23" i="1"/>
  <c r="AO24" i="1"/>
  <c r="AO25" i="1"/>
  <c r="AO27" i="1"/>
  <c r="X37" i="1" l="1"/>
  <c r="X36" i="1"/>
  <c r="X35" i="1"/>
  <c r="X34" i="1"/>
  <c r="X33" i="1"/>
  <c r="X32" i="1"/>
  <c r="X31" i="1"/>
  <c r="V37" i="1"/>
  <c r="V36" i="1"/>
  <c r="V35" i="1"/>
  <c r="V34" i="1"/>
  <c r="V33" i="1"/>
  <c r="V32" i="1"/>
  <c r="V31" i="1"/>
  <c r="H27" i="1" l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G59" i="1" l="1"/>
  <c r="I59" i="1" s="1"/>
  <c r="R59" i="1"/>
  <c r="Q59" i="1" s="1"/>
  <c r="V59" i="1"/>
  <c r="U59" i="1" s="1"/>
  <c r="X59" i="1"/>
  <c r="AC59" i="1" s="1"/>
  <c r="AF59" i="1"/>
  <c r="AE59" i="1" s="1"/>
  <c r="AK59" i="1"/>
  <c r="AJ59" i="1" s="1"/>
  <c r="AM59" i="1"/>
  <c r="AL59" i="1" s="1"/>
  <c r="AO59" i="1"/>
  <c r="AN59" i="1" s="1"/>
  <c r="AP59" i="1" s="1"/>
  <c r="AR59" i="1"/>
  <c r="AQ59" i="1" s="1"/>
  <c r="AV59" i="1"/>
  <c r="AU59" i="1" s="1"/>
  <c r="AX59" i="1"/>
  <c r="AW59" i="1" s="1"/>
  <c r="AZ59" i="1"/>
  <c r="AY59" i="1" s="1"/>
  <c r="G60" i="1"/>
  <c r="F60" i="1" s="1"/>
  <c r="R60" i="1"/>
  <c r="Q60" i="1" s="1"/>
  <c r="V60" i="1"/>
  <c r="U60" i="1" s="1"/>
  <c r="X60" i="1"/>
  <c r="Z60" i="1" s="1"/>
  <c r="AF60" i="1"/>
  <c r="AE60" i="1" s="1"/>
  <c r="AK60" i="1"/>
  <c r="AJ60" i="1" s="1"/>
  <c r="AM60" i="1"/>
  <c r="AL60" i="1" s="1"/>
  <c r="AO60" i="1"/>
  <c r="AN60" i="1" s="1"/>
  <c r="AP60" i="1" s="1"/>
  <c r="AR60" i="1"/>
  <c r="AQ60" i="1" s="1"/>
  <c r="AS60" i="1" s="1"/>
  <c r="AV60" i="1"/>
  <c r="AU60" i="1" s="1"/>
  <c r="AX60" i="1"/>
  <c r="AW60" i="1" s="1"/>
  <c r="AZ60" i="1"/>
  <c r="AY60" i="1" s="1"/>
  <c r="G61" i="1"/>
  <c r="F61" i="1" s="1"/>
  <c r="R61" i="1"/>
  <c r="Q61" i="1" s="1"/>
  <c r="V61" i="1"/>
  <c r="U61" i="1" s="1"/>
  <c r="X61" i="1"/>
  <c r="W61" i="1" s="1"/>
  <c r="Y61" i="1" s="1"/>
  <c r="AF61" i="1"/>
  <c r="AE61" i="1" s="1"/>
  <c r="AK61" i="1"/>
  <c r="AJ61" i="1" s="1"/>
  <c r="AM61" i="1"/>
  <c r="AL61" i="1" s="1"/>
  <c r="AO61" i="1"/>
  <c r="AN61" i="1" s="1"/>
  <c r="AP61" i="1" s="1"/>
  <c r="AR61" i="1"/>
  <c r="AQ61" i="1" s="1"/>
  <c r="AV61" i="1"/>
  <c r="AU61" i="1" s="1"/>
  <c r="AX61" i="1"/>
  <c r="AW61" i="1" s="1"/>
  <c r="AZ61" i="1"/>
  <c r="AY61" i="1" s="1"/>
  <c r="AZ58" i="1"/>
  <c r="AY58" i="1" s="1"/>
  <c r="AX58" i="1"/>
  <c r="AW58" i="1" s="1"/>
  <c r="AV58" i="1"/>
  <c r="AU58" i="1" s="1"/>
  <c r="AR58" i="1"/>
  <c r="AQ58" i="1" s="1"/>
  <c r="AO58" i="1"/>
  <c r="AN58" i="1" s="1"/>
  <c r="AP58" i="1" s="1"/>
  <c r="AM58" i="1"/>
  <c r="AL58" i="1" s="1"/>
  <c r="AK58" i="1"/>
  <c r="AJ58" i="1" s="1"/>
  <c r="AF58" i="1"/>
  <c r="AE58" i="1" s="1"/>
  <c r="AI58" i="1" s="1"/>
  <c r="X58" i="1"/>
  <c r="AB58" i="1" s="1"/>
  <c r="V58" i="1"/>
  <c r="U58" i="1" s="1"/>
  <c r="R58" i="1"/>
  <c r="Q58" i="1" s="1"/>
  <c r="G58" i="1"/>
  <c r="F58" i="1" s="1"/>
  <c r="AZ63" i="1"/>
  <c r="AY63" i="1" s="1"/>
  <c r="AX63" i="1"/>
  <c r="AW63" i="1" s="1"/>
  <c r="AV63" i="1"/>
  <c r="AU63" i="1" s="1"/>
  <c r="AR63" i="1"/>
  <c r="AQ63" i="1" s="1"/>
  <c r="AO63" i="1"/>
  <c r="AN63" i="1" s="1"/>
  <c r="AP63" i="1" s="1"/>
  <c r="AM63" i="1"/>
  <c r="AL63" i="1" s="1"/>
  <c r="AK63" i="1"/>
  <c r="AJ63" i="1" s="1"/>
  <c r="AF63" i="1"/>
  <c r="AE63" i="1" s="1"/>
  <c r="X63" i="1"/>
  <c r="AB63" i="1" s="1"/>
  <c r="V63" i="1"/>
  <c r="U63" i="1" s="1"/>
  <c r="R63" i="1"/>
  <c r="Q63" i="1" s="1"/>
  <c r="G63" i="1"/>
  <c r="G44" i="1"/>
  <c r="I44" i="1" s="1"/>
  <c r="R44" i="1"/>
  <c r="Q44" i="1" s="1"/>
  <c r="V44" i="1"/>
  <c r="U44" i="1" s="1"/>
  <c r="X44" i="1"/>
  <c r="AC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G45" i="1"/>
  <c r="F45" i="1" s="1"/>
  <c r="R45" i="1"/>
  <c r="Q45" i="1" s="1"/>
  <c r="T45" i="1" s="1"/>
  <c r="V45" i="1"/>
  <c r="U45" i="1" s="1"/>
  <c r="X45" i="1"/>
  <c r="AF45" i="1"/>
  <c r="AE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AX45" i="1"/>
  <c r="AW45" i="1" s="1"/>
  <c r="AZ45" i="1"/>
  <c r="AY45" i="1" s="1"/>
  <c r="G46" i="1"/>
  <c r="I46" i="1" s="1"/>
  <c r="R46" i="1"/>
  <c r="Q46" i="1" s="1"/>
  <c r="V46" i="1"/>
  <c r="U46" i="1" s="1"/>
  <c r="X46" i="1"/>
  <c r="AF46" i="1"/>
  <c r="AE46" i="1" s="1"/>
  <c r="AK46" i="1"/>
  <c r="AJ46" i="1" s="1"/>
  <c r="AM46" i="1"/>
  <c r="AL46" i="1" s="1"/>
  <c r="AO46" i="1"/>
  <c r="AN46" i="1" s="1"/>
  <c r="AP46" i="1" s="1"/>
  <c r="AR46" i="1"/>
  <c r="AQ46" i="1" s="1"/>
  <c r="AV46" i="1"/>
  <c r="AU46" i="1" s="1"/>
  <c r="AX46" i="1"/>
  <c r="AW46" i="1" s="1"/>
  <c r="AZ46" i="1"/>
  <c r="AY46" i="1" s="1"/>
  <c r="G47" i="1"/>
  <c r="I47" i="1" s="1"/>
  <c r="R47" i="1"/>
  <c r="Q47" i="1" s="1"/>
  <c r="S47" i="1" s="1"/>
  <c r="V47" i="1"/>
  <c r="U47" i="1" s="1"/>
  <c r="X47" i="1"/>
  <c r="W47" i="1" s="1"/>
  <c r="Y47" i="1" s="1"/>
  <c r="AF47" i="1"/>
  <c r="AE47" i="1" s="1"/>
  <c r="AK47" i="1"/>
  <c r="AJ47" i="1" s="1"/>
  <c r="AM47" i="1"/>
  <c r="AL47" i="1" s="1"/>
  <c r="AO47" i="1"/>
  <c r="AN47" i="1" s="1"/>
  <c r="AP47" i="1" s="1"/>
  <c r="AR47" i="1"/>
  <c r="AQ47" i="1" s="1"/>
  <c r="AV47" i="1"/>
  <c r="AU47" i="1" s="1"/>
  <c r="AX47" i="1"/>
  <c r="AW47" i="1" s="1"/>
  <c r="AZ47" i="1"/>
  <c r="AY47" i="1" s="1"/>
  <c r="G50" i="1"/>
  <c r="I50" i="1" s="1"/>
  <c r="R50" i="1"/>
  <c r="Q50" i="1" s="1"/>
  <c r="V50" i="1"/>
  <c r="U50" i="1" s="1"/>
  <c r="X50" i="1"/>
  <c r="AC50" i="1" s="1"/>
  <c r="AF50" i="1"/>
  <c r="AE50" i="1" s="1"/>
  <c r="AK50" i="1"/>
  <c r="AJ50" i="1" s="1"/>
  <c r="AM50" i="1"/>
  <c r="AL50" i="1" s="1"/>
  <c r="AO50" i="1"/>
  <c r="AN50" i="1" s="1"/>
  <c r="AP50" i="1" s="1"/>
  <c r="AR50" i="1"/>
  <c r="AQ50" i="1" s="1"/>
  <c r="AV50" i="1"/>
  <c r="AU50" i="1" s="1"/>
  <c r="AX50" i="1"/>
  <c r="AW50" i="1" s="1"/>
  <c r="AZ50" i="1"/>
  <c r="AY50" i="1" s="1"/>
  <c r="G52" i="1"/>
  <c r="F52" i="1" s="1"/>
  <c r="R52" i="1"/>
  <c r="Q52" i="1" s="1"/>
  <c r="V52" i="1"/>
  <c r="U52" i="1" s="1"/>
  <c r="X52" i="1"/>
  <c r="Z52" i="1" s="1"/>
  <c r="AF52" i="1"/>
  <c r="AE52" i="1" s="1"/>
  <c r="AI52" i="1" s="1"/>
  <c r="AK52" i="1"/>
  <c r="AJ52" i="1" s="1"/>
  <c r="AM52" i="1"/>
  <c r="AL52" i="1" s="1"/>
  <c r="AO52" i="1"/>
  <c r="AN52" i="1" s="1"/>
  <c r="AP52" i="1" s="1"/>
  <c r="AR52" i="1"/>
  <c r="AQ52" i="1" s="1"/>
  <c r="AS52" i="1" s="1"/>
  <c r="AV52" i="1"/>
  <c r="AU52" i="1" s="1"/>
  <c r="AX52" i="1"/>
  <c r="AW52" i="1" s="1"/>
  <c r="AZ52" i="1"/>
  <c r="AY52" i="1" s="1"/>
  <c r="G55" i="1"/>
  <c r="R55" i="1"/>
  <c r="Q55" i="1" s="1"/>
  <c r="V55" i="1"/>
  <c r="U55" i="1" s="1"/>
  <c r="X55" i="1"/>
  <c r="W55" i="1" s="1"/>
  <c r="Y55" i="1" s="1"/>
  <c r="AF55" i="1"/>
  <c r="AE55" i="1" s="1"/>
  <c r="AK55" i="1"/>
  <c r="AJ55" i="1" s="1"/>
  <c r="AM55" i="1"/>
  <c r="AL55" i="1" s="1"/>
  <c r="AO55" i="1"/>
  <c r="AN55" i="1" s="1"/>
  <c r="AP55" i="1" s="1"/>
  <c r="AR55" i="1"/>
  <c r="AQ55" i="1" s="1"/>
  <c r="AV55" i="1"/>
  <c r="AU55" i="1" s="1"/>
  <c r="AX55" i="1"/>
  <c r="AW55" i="1" s="1"/>
  <c r="AZ55" i="1"/>
  <c r="AY55" i="1" s="1"/>
  <c r="G56" i="1"/>
  <c r="I56" i="1" s="1"/>
  <c r="R56" i="1"/>
  <c r="Q56" i="1" s="1"/>
  <c r="S56" i="1" s="1"/>
  <c r="V56" i="1"/>
  <c r="U56" i="1" s="1"/>
  <c r="X56" i="1"/>
  <c r="Z56" i="1" s="1"/>
  <c r="AF56" i="1"/>
  <c r="AE56" i="1" s="1"/>
  <c r="AH56" i="1" s="1"/>
  <c r="AK56" i="1"/>
  <c r="AJ56" i="1" s="1"/>
  <c r="AM56" i="1"/>
  <c r="AL56" i="1" s="1"/>
  <c r="AO56" i="1"/>
  <c r="AN56" i="1" s="1"/>
  <c r="AP56" i="1" s="1"/>
  <c r="AR56" i="1"/>
  <c r="AQ56" i="1" s="1"/>
  <c r="AV56" i="1"/>
  <c r="AU56" i="1" s="1"/>
  <c r="AX56" i="1"/>
  <c r="AW56" i="1" s="1"/>
  <c r="AZ56" i="1"/>
  <c r="AY56" i="1" s="1"/>
  <c r="G57" i="1"/>
  <c r="I57" i="1" s="1"/>
  <c r="R57" i="1"/>
  <c r="Q57" i="1" s="1"/>
  <c r="V57" i="1"/>
  <c r="U57" i="1" s="1"/>
  <c r="X57" i="1"/>
  <c r="AB57" i="1" s="1"/>
  <c r="AF57" i="1"/>
  <c r="AE57" i="1" s="1"/>
  <c r="AK57" i="1"/>
  <c r="AJ57" i="1" s="1"/>
  <c r="AM57" i="1"/>
  <c r="AL57" i="1" s="1"/>
  <c r="AO57" i="1"/>
  <c r="AN57" i="1" s="1"/>
  <c r="AP57" i="1" s="1"/>
  <c r="AR57" i="1"/>
  <c r="AQ57" i="1" s="1"/>
  <c r="AV57" i="1"/>
  <c r="AU57" i="1" s="1"/>
  <c r="AX57" i="1"/>
  <c r="AW57" i="1" s="1"/>
  <c r="AZ57" i="1"/>
  <c r="AY57" i="1" s="1"/>
  <c r="U32" i="1"/>
  <c r="U34" i="1"/>
  <c r="U35" i="1"/>
  <c r="U36" i="1"/>
  <c r="U37" i="1"/>
  <c r="AZ41" i="1"/>
  <c r="AY41" i="1" s="1"/>
  <c r="AX41" i="1"/>
  <c r="AW41" i="1" s="1"/>
  <c r="AV41" i="1"/>
  <c r="AU41" i="1" s="1"/>
  <c r="AR41" i="1"/>
  <c r="AQ41" i="1" s="1"/>
  <c r="AO41" i="1"/>
  <c r="AN41" i="1" s="1"/>
  <c r="AP41" i="1" s="1"/>
  <c r="AM41" i="1"/>
  <c r="AL41" i="1" s="1"/>
  <c r="AK41" i="1"/>
  <c r="AJ41" i="1" s="1"/>
  <c r="AF41" i="1"/>
  <c r="AE41" i="1" s="1"/>
  <c r="X41" i="1"/>
  <c r="AB41" i="1" s="1"/>
  <c r="V41" i="1"/>
  <c r="U41" i="1" s="1"/>
  <c r="R41" i="1"/>
  <c r="Q41" i="1" s="1"/>
  <c r="G41" i="1"/>
  <c r="I41" i="1" s="1"/>
  <c r="AZ40" i="1"/>
  <c r="AY40" i="1" s="1"/>
  <c r="AX40" i="1"/>
  <c r="AW40" i="1" s="1"/>
  <c r="AV40" i="1"/>
  <c r="AU40" i="1" s="1"/>
  <c r="AR40" i="1"/>
  <c r="AQ40" i="1" s="1"/>
  <c r="AS40" i="1" s="1"/>
  <c r="AO40" i="1"/>
  <c r="AN40" i="1" s="1"/>
  <c r="AP40" i="1" s="1"/>
  <c r="AM40" i="1"/>
  <c r="AL40" i="1" s="1"/>
  <c r="AK40" i="1"/>
  <c r="AJ40" i="1" s="1"/>
  <c r="AF40" i="1"/>
  <c r="AE40" i="1" s="1"/>
  <c r="AG40" i="1" s="1"/>
  <c r="X40" i="1"/>
  <c r="AB40" i="1" s="1"/>
  <c r="V40" i="1"/>
  <c r="U40" i="1" s="1"/>
  <c r="R40" i="1"/>
  <c r="Q40" i="1" s="1"/>
  <c r="T40" i="1" s="1"/>
  <c r="G40" i="1"/>
  <c r="F40" i="1" s="1"/>
  <c r="AZ39" i="1"/>
  <c r="AY39" i="1" s="1"/>
  <c r="AX39" i="1"/>
  <c r="AW39" i="1" s="1"/>
  <c r="AV39" i="1"/>
  <c r="AU39" i="1" s="1"/>
  <c r="AR39" i="1"/>
  <c r="AQ39" i="1" s="1"/>
  <c r="AO39" i="1"/>
  <c r="AN39" i="1" s="1"/>
  <c r="AP39" i="1" s="1"/>
  <c r="AM39" i="1"/>
  <c r="AL39" i="1" s="1"/>
  <c r="AK39" i="1"/>
  <c r="AJ39" i="1" s="1"/>
  <c r="AF39" i="1"/>
  <c r="AE39" i="1" s="1"/>
  <c r="X39" i="1"/>
  <c r="AD39" i="1" s="1"/>
  <c r="V39" i="1"/>
  <c r="U39" i="1" s="1"/>
  <c r="R39" i="1"/>
  <c r="Q39" i="1" s="1"/>
  <c r="G39" i="1"/>
  <c r="I39" i="1" s="1"/>
  <c r="AZ38" i="1"/>
  <c r="AY38" i="1" s="1"/>
  <c r="AX38" i="1"/>
  <c r="AW38" i="1" s="1"/>
  <c r="AV38" i="1"/>
  <c r="AU38" i="1" s="1"/>
  <c r="AR38" i="1"/>
  <c r="AQ38" i="1" s="1"/>
  <c r="AO38" i="1"/>
  <c r="AN38" i="1" s="1"/>
  <c r="AP38" i="1" s="1"/>
  <c r="AM38" i="1"/>
  <c r="AL38" i="1" s="1"/>
  <c r="AK38" i="1"/>
  <c r="AJ38" i="1" s="1"/>
  <c r="AF38" i="1"/>
  <c r="AE38" i="1" s="1"/>
  <c r="AI38" i="1" s="1"/>
  <c r="X38" i="1"/>
  <c r="AD38" i="1" s="1"/>
  <c r="V38" i="1"/>
  <c r="U38" i="1" s="1"/>
  <c r="R38" i="1"/>
  <c r="Q38" i="1" s="1"/>
  <c r="S38" i="1" s="1"/>
  <c r="G38" i="1"/>
  <c r="I38" i="1" s="1"/>
  <c r="AZ37" i="1"/>
  <c r="AY37" i="1" s="1"/>
  <c r="AX37" i="1"/>
  <c r="AW37" i="1" s="1"/>
  <c r="AV37" i="1"/>
  <c r="AU37" i="1" s="1"/>
  <c r="AR37" i="1"/>
  <c r="AQ37" i="1" s="1"/>
  <c r="AO37" i="1"/>
  <c r="AN37" i="1" s="1"/>
  <c r="AP37" i="1" s="1"/>
  <c r="AM37" i="1"/>
  <c r="AL37" i="1" s="1"/>
  <c r="AK37" i="1"/>
  <c r="AJ37" i="1" s="1"/>
  <c r="AF37" i="1"/>
  <c r="AE37" i="1" s="1"/>
  <c r="R37" i="1"/>
  <c r="Q37" i="1" s="1"/>
  <c r="G37" i="1"/>
  <c r="I37" i="1" s="1"/>
  <c r="AZ36" i="1"/>
  <c r="AY36" i="1" s="1"/>
  <c r="AX36" i="1"/>
  <c r="AW36" i="1" s="1"/>
  <c r="AV36" i="1"/>
  <c r="AU36" i="1" s="1"/>
  <c r="AR36" i="1"/>
  <c r="AQ36" i="1" s="1"/>
  <c r="AS36" i="1" s="1"/>
  <c r="AO36" i="1"/>
  <c r="AN36" i="1" s="1"/>
  <c r="AP36" i="1" s="1"/>
  <c r="AM36" i="1"/>
  <c r="AL36" i="1" s="1"/>
  <c r="AK36" i="1"/>
  <c r="AJ36" i="1" s="1"/>
  <c r="AF36" i="1"/>
  <c r="AE36" i="1" s="1"/>
  <c r="AG36" i="1" s="1"/>
  <c r="R36" i="1"/>
  <c r="Q36" i="1" s="1"/>
  <c r="G36" i="1"/>
  <c r="F36" i="1" s="1"/>
  <c r="AZ35" i="1"/>
  <c r="AY35" i="1" s="1"/>
  <c r="AX35" i="1"/>
  <c r="AW35" i="1" s="1"/>
  <c r="AV35" i="1"/>
  <c r="AU35" i="1" s="1"/>
  <c r="AR35" i="1"/>
  <c r="AQ35" i="1" s="1"/>
  <c r="AO35" i="1"/>
  <c r="AN35" i="1" s="1"/>
  <c r="AP35" i="1" s="1"/>
  <c r="AM35" i="1"/>
  <c r="AL35" i="1" s="1"/>
  <c r="AK35" i="1"/>
  <c r="AJ35" i="1" s="1"/>
  <c r="AF35" i="1"/>
  <c r="AE35" i="1" s="1"/>
  <c r="R35" i="1"/>
  <c r="Q35" i="1" s="1"/>
  <c r="S35" i="1" s="1"/>
  <c r="G35" i="1"/>
  <c r="I35" i="1" s="1"/>
  <c r="AZ34" i="1"/>
  <c r="AY34" i="1" s="1"/>
  <c r="AX34" i="1"/>
  <c r="AW34" i="1" s="1"/>
  <c r="AV34" i="1"/>
  <c r="AU34" i="1" s="1"/>
  <c r="AR34" i="1"/>
  <c r="AQ34" i="1" s="1"/>
  <c r="AO34" i="1"/>
  <c r="AN34" i="1" s="1"/>
  <c r="AP34" i="1" s="1"/>
  <c r="AM34" i="1"/>
  <c r="AL34" i="1" s="1"/>
  <c r="AK34" i="1"/>
  <c r="AJ34" i="1" s="1"/>
  <c r="AF34" i="1"/>
  <c r="AE34" i="1" s="1"/>
  <c r="AI34" i="1" s="1"/>
  <c r="AC34" i="1"/>
  <c r="AD34" i="1"/>
  <c r="W34" i="1"/>
  <c r="Y34" i="1" s="1"/>
  <c r="R34" i="1"/>
  <c r="Q34" i="1" s="1"/>
  <c r="G34" i="1"/>
  <c r="F34" i="1" s="1"/>
  <c r="AZ33" i="1"/>
  <c r="AY33" i="1" s="1"/>
  <c r="AX33" i="1"/>
  <c r="AW33" i="1" s="1"/>
  <c r="AV33" i="1"/>
  <c r="AU33" i="1" s="1"/>
  <c r="AR33" i="1"/>
  <c r="AQ33" i="1" s="1"/>
  <c r="AO33" i="1"/>
  <c r="AN33" i="1" s="1"/>
  <c r="AP33" i="1" s="1"/>
  <c r="AM33" i="1"/>
  <c r="AL33" i="1" s="1"/>
  <c r="AK33" i="1"/>
  <c r="AJ33" i="1" s="1"/>
  <c r="AF33" i="1"/>
  <c r="AE33" i="1" s="1"/>
  <c r="AD33" i="1"/>
  <c r="U33" i="1"/>
  <c r="R33" i="1"/>
  <c r="Q33" i="1" s="1"/>
  <c r="G33" i="1"/>
  <c r="I33" i="1" s="1"/>
  <c r="AZ32" i="1"/>
  <c r="AY32" i="1" s="1"/>
  <c r="AX32" i="1"/>
  <c r="AW32" i="1" s="1"/>
  <c r="AV32" i="1"/>
  <c r="AU32" i="1" s="1"/>
  <c r="AR32" i="1"/>
  <c r="AQ32" i="1" s="1"/>
  <c r="AT32" i="1" s="1"/>
  <c r="AO32" i="1"/>
  <c r="AN32" i="1" s="1"/>
  <c r="AP32" i="1" s="1"/>
  <c r="AM32" i="1"/>
  <c r="AL32" i="1" s="1"/>
  <c r="AK32" i="1"/>
  <c r="AJ32" i="1" s="1"/>
  <c r="AF32" i="1"/>
  <c r="AE32" i="1" s="1"/>
  <c r="AB32" i="1"/>
  <c r="R32" i="1"/>
  <c r="Q32" i="1" s="1"/>
  <c r="T32" i="1" s="1"/>
  <c r="G32" i="1"/>
  <c r="F32" i="1" s="1"/>
  <c r="AC31" i="1"/>
  <c r="U31" i="1"/>
  <c r="AZ31" i="1"/>
  <c r="AY31" i="1" s="1"/>
  <c r="AX31" i="1"/>
  <c r="AW31" i="1" s="1"/>
  <c r="AV31" i="1"/>
  <c r="AU31" i="1" s="1"/>
  <c r="AR31" i="1"/>
  <c r="AQ31" i="1" s="1"/>
  <c r="AS31" i="1" s="1"/>
  <c r="AO31" i="1"/>
  <c r="AN31" i="1" s="1"/>
  <c r="AP31" i="1" s="1"/>
  <c r="AM31" i="1"/>
  <c r="AL31" i="1" s="1"/>
  <c r="AK31" i="1"/>
  <c r="AJ31" i="1" s="1"/>
  <c r="AF31" i="1"/>
  <c r="AE31" i="1" s="1"/>
  <c r="R31" i="1"/>
  <c r="Q31" i="1" s="1"/>
  <c r="G31" i="1"/>
  <c r="F31" i="1" s="1"/>
  <c r="AZ21" i="1"/>
  <c r="AZ22" i="1"/>
  <c r="AZ23" i="1"/>
  <c r="AZ24" i="1"/>
  <c r="AZ25" i="1"/>
  <c r="AZ20" i="1"/>
  <c r="AZ27" i="1"/>
  <c r="AY27" i="1" s="1"/>
  <c r="AZ12" i="1"/>
  <c r="AY12" i="1" s="1"/>
  <c r="AZ13" i="1"/>
  <c r="AY13" i="1" s="1"/>
  <c r="AZ14" i="1"/>
  <c r="AY14" i="1" s="1"/>
  <c r="AZ15" i="1"/>
  <c r="AY15" i="1" s="1"/>
  <c r="AZ17" i="1"/>
  <c r="AY17" i="1" s="1"/>
  <c r="AZ18" i="1"/>
  <c r="AY18" i="1" s="1"/>
  <c r="AZ19" i="1"/>
  <c r="AY19" i="1" s="1"/>
  <c r="AZ11" i="1"/>
  <c r="AY11" i="1" s="1"/>
  <c r="AX12" i="1"/>
  <c r="AX13" i="1"/>
  <c r="AX14" i="1"/>
  <c r="AX15" i="1"/>
  <c r="AX17" i="1"/>
  <c r="AX18" i="1"/>
  <c r="AX19" i="1"/>
  <c r="AX20" i="1"/>
  <c r="AX21" i="1"/>
  <c r="AX22" i="1"/>
  <c r="AX23" i="1"/>
  <c r="AX24" i="1"/>
  <c r="AX25" i="1"/>
  <c r="AX27" i="1"/>
  <c r="AX11" i="1"/>
  <c r="AV12" i="1"/>
  <c r="AV13" i="1"/>
  <c r="AV14" i="1"/>
  <c r="AV15" i="1"/>
  <c r="AV17" i="1"/>
  <c r="AV18" i="1"/>
  <c r="AV19" i="1"/>
  <c r="AV20" i="1"/>
  <c r="AV21" i="1"/>
  <c r="AV22" i="1"/>
  <c r="AV23" i="1"/>
  <c r="AV24" i="1"/>
  <c r="AV25" i="1"/>
  <c r="AV11" i="1"/>
  <c r="AV27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R12" i="1"/>
  <c r="AR13" i="1"/>
  <c r="AR14" i="1"/>
  <c r="AR15" i="1"/>
  <c r="AR20" i="1"/>
  <c r="AR21" i="1"/>
  <c r="AR22" i="1"/>
  <c r="AR23" i="1"/>
  <c r="AR24" i="1"/>
  <c r="AR25" i="1"/>
  <c r="AR27" i="1"/>
  <c r="AR11" i="1"/>
  <c r="AS19" i="1" s="1"/>
  <c r="AN12" i="1"/>
  <c r="AP12" i="1" s="1"/>
  <c r="AN14" i="1"/>
  <c r="AP14" i="1" s="1"/>
  <c r="AN15" i="1"/>
  <c r="AP15" i="1" s="1"/>
  <c r="AN17" i="1"/>
  <c r="AP17" i="1" s="1"/>
  <c r="AN19" i="1"/>
  <c r="AP19" i="1" s="1"/>
  <c r="AN20" i="1"/>
  <c r="AP20" i="1" s="1"/>
  <c r="AN21" i="1"/>
  <c r="AP21" i="1" s="1"/>
  <c r="AN23" i="1"/>
  <c r="AP23" i="1" s="1"/>
  <c r="AN24" i="1"/>
  <c r="AP24" i="1" s="1"/>
  <c r="AN25" i="1"/>
  <c r="AP25" i="1" s="1"/>
  <c r="AN11" i="1"/>
  <c r="AP11" i="1" s="1"/>
  <c r="AN13" i="1"/>
  <c r="AP13" i="1" s="1"/>
  <c r="AN18" i="1"/>
  <c r="AP18" i="1" s="1"/>
  <c r="AN22" i="1"/>
  <c r="AP22" i="1" s="1"/>
  <c r="AN27" i="1"/>
  <c r="AP27" i="1" s="1"/>
  <c r="AK12" i="1"/>
  <c r="AK13" i="1"/>
  <c r="AK14" i="1"/>
  <c r="AK15" i="1"/>
  <c r="AK17" i="1"/>
  <c r="AK18" i="1"/>
  <c r="AK19" i="1"/>
  <c r="AK20" i="1"/>
  <c r="AK21" i="1"/>
  <c r="AK22" i="1"/>
  <c r="AK23" i="1"/>
  <c r="AK24" i="1"/>
  <c r="AK25" i="1"/>
  <c r="AK27" i="1"/>
  <c r="AK11" i="1"/>
  <c r="AF12" i="1"/>
  <c r="AF13" i="1"/>
  <c r="AF14" i="1"/>
  <c r="AF15" i="1"/>
  <c r="AF20" i="1"/>
  <c r="AF21" i="1"/>
  <c r="AF22" i="1"/>
  <c r="AF23" i="1"/>
  <c r="AF24" i="1"/>
  <c r="AF25" i="1"/>
  <c r="AF27" i="1"/>
  <c r="AF11" i="1"/>
  <c r="AF17" i="1" s="1"/>
  <c r="Y13" i="1"/>
  <c r="Y14" i="1"/>
  <c r="Y15" i="1"/>
  <c r="Y17" i="1"/>
  <c r="Y18" i="1"/>
  <c r="Y19" i="1"/>
  <c r="Y20" i="1"/>
  <c r="Y21" i="1"/>
  <c r="Y22" i="1"/>
  <c r="Y23" i="1"/>
  <c r="Y24" i="1"/>
  <c r="Y25" i="1"/>
  <c r="Y12" i="1"/>
  <c r="Y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7" i="1"/>
  <c r="V1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R12" i="1"/>
  <c r="R13" i="1"/>
  <c r="R14" i="1"/>
  <c r="R15" i="1"/>
  <c r="R20" i="1"/>
  <c r="R21" i="1"/>
  <c r="R22" i="1"/>
  <c r="R23" i="1"/>
  <c r="R24" i="1"/>
  <c r="R25" i="1"/>
  <c r="R27" i="1"/>
  <c r="R11" i="1"/>
  <c r="R16" i="1" s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57" i="1"/>
  <c r="E56" i="1"/>
  <c r="E55" i="1"/>
  <c r="E52" i="1"/>
  <c r="E50" i="1"/>
  <c r="E47" i="1"/>
  <c r="E46" i="1"/>
  <c r="E45" i="1"/>
  <c r="E44" i="1"/>
  <c r="E41" i="1"/>
  <c r="E40" i="1"/>
  <c r="E37" i="1"/>
  <c r="E36" i="1"/>
  <c r="E35" i="1"/>
  <c r="E34" i="1"/>
  <c r="E33" i="1"/>
  <c r="E32" i="1"/>
  <c r="E31" i="1"/>
  <c r="E27" i="1"/>
  <c r="E25" i="1"/>
  <c r="E24" i="1"/>
  <c r="D24" i="1" s="1"/>
  <c r="E23" i="1"/>
  <c r="E22" i="1"/>
  <c r="E21" i="1"/>
  <c r="E20" i="1"/>
  <c r="E19" i="1"/>
  <c r="E18" i="1"/>
  <c r="E17" i="1"/>
  <c r="E15" i="1"/>
  <c r="E14" i="1"/>
  <c r="E13" i="1"/>
  <c r="E12" i="1"/>
  <c r="E11" i="1"/>
  <c r="R19" i="1" l="1"/>
  <c r="Q19" i="1" s="1"/>
  <c r="T19" i="1" s="1"/>
  <c r="R17" i="1"/>
  <c r="Q17" i="1" s="1"/>
  <c r="R18" i="1"/>
  <c r="Q18" i="1" s="1"/>
  <c r="S18" i="1" s="1"/>
  <c r="E59" i="1"/>
  <c r="E63" i="1"/>
  <c r="E38" i="1"/>
  <c r="F35" i="1"/>
  <c r="W38" i="1"/>
  <c r="Y38" i="1" s="1"/>
  <c r="P35" i="1"/>
  <c r="K35" i="1"/>
  <c r="L35" i="1"/>
  <c r="K37" i="1"/>
  <c r="L37" i="1"/>
  <c r="K44" i="1"/>
  <c r="L44" i="1"/>
  <c r="K41" i="1"/>
  <c r="L41" i="1"/>
  <c r="K39" i="1"/>
  <c r="L39" i="1"/>
  <c r="K57" i="1"/>
  <c r="L57" i="1"/>
  <c r="K56" i="1"/>
  <c r="L56" i="1"/>
  <c r="K50" i="1"/>
  <c r="L50" i="1"/>
  <c r="K47" i="1"/>
  <c r="L47" i="1"/>
  <c r="H46" i="1"/>
  <c r="K46" i="1"/>
  <c r="L46" i="1"/>
  <c r="N33" i="1"/>
  <c r="K33" i="1"/>
  <c r="L33" i="1"/>
  <c r="K38" i="1"/>
  <c r="L38" i="1"/>
  <c r="K59" i="1"/>
  <c r="L59" i="1"/>
  <c r="E60" i="1"/>
  <c r="W52" i="1"/>
  <c r="Y52" i="1" s="1"/>
  <c r="E39" i="1"/>
  <c r="AC52" i="1"/>
  <c r="E58" i="1"/>
  <c r="AC58" i="1"/>
  <c r="AC56" i="1"/>
  <c r="AB52" i="1"/>
  <c r="AD47" i="1"/>
  <c r="Z61" i="1"/>
  <c r="AC38" i="1"/>
  <c r="AA58" i="1"/>
  <c r="AB56" i="1"/>
  <c r="AA52" i="1"/>
  <c r="AB47" i="1"/>
  <c r="W58" i="1"/>
  <c r="Y58" i="1" s="1"/>
  <c r="Z47" i="1"/>
  <c r="F50" i="1"/>
  <c r="AA34" i="1"/>
  <c r="I52" i="1"/>
  <c r="AH47" i="1"/>
  <c r="AI47" i="1"/>
  <c r="AG47" i="1"/>
  <c r="E61" i="1"/>
  <c r="AA32" i="1"/>
  <c r="F33" i="1"/>
  <c r="T35" i="1"/>
  <c r="F37" i="1"/>
  <c r="F39" i="1"/>
  <c r="AA40" i="1"/>
  <c r="I58" i="1"/>
  <c r="J58" i="1" s="1"/>
  <c r="F57" i="1"/>
  <c r="AC47" i="1"/>
  <c r="AB44" i="1"/>
  <c r="AA60" i="1"/>
  <c r="AC32" i="1"/>
  <c r="AC40" i="1"/>
  <c r="AD55" i="1"/>
  <c r="O46" i="1"/>
  <c r="J33" i="1"/>
  <c r="AB33" i="1"/>
  <c r="W40" i="1"/>
  <c r="Y40" i="1" s="1"/>
  <c r="AG56" i="1"/>
  <c r="AB55" i="1"/>
  <c r="AA47" i="1"/>
  <c r="I45" i="1"/>
  <c r="J45" i="1" s="1"/>
  <c r="I61" i="1"/>
  <c r="I60" i="1"/>
  <c r="AB59" i="1"/>
  <c r="AF18" i="1"/>
  <c r="T52" i="1"/>
  <c r="S52" i="1"/>
  <c r="AG60" i="1"/>
  <c r="AI60" i="1"/>
  <c r="AF19" i="1"/>
  <c r="AS33" i="1"/>
  <c r="AT33" i="1"/>
  <c r="AG34" i="1"/>
  <c r="AT34" i="1"/>
  <c r="AS34" i="1"/>
  <c r="AT38" i="1"/>
  <c r="AS38" i="1"/>
  <c r="S45" i="1"/>
  <c r="T60" i="1"/>
  <c r="S60" i="1"/>
  <c r="AH32" i="1"/>
  <c r="AI32" i="1"/>
  <c r="T36" i="1"/>
  <c r="S36" i="1"/>
  <c r="AB37" i="1"/>
  <c r="AD37" i="1"/>
  <c r="Z37" i="1"/>
  <c r="I55" i="1"/>
  <c r="F55" i="1"/>
  <c r="W46" i="1"/>
  <c r="Y46" i="1" s="1"/>
  <c r="Z46" i="1"/>
  <c r="AB46" i="1"/>
  <c r="AD46" i="1"/>
  <c r="AG45" i="1"/>
  <c r="AI45" i="1"/>
  <c r="I63" i="1"/>
  <c r="P63" i="1" s="1"/>
  <c r="F63" i="1"/>
  <c r="AA31" i="1"/>
  <c r="W31" i="1"/>
  <c r="AD31" i="1"/>
  <c r="S33" i="1"/>
  <c r="T33" i="1"/>
  <c r="AT56" i="1"/>
  <c r="AS56" i="1"/>
  <c r="AG32" i="1"/>
  <c r="AB36" i="1"/>
  <c r="W36" i="1"/>
  <c r="Y36" i="1" s="1"/>
  <c r="AC36" i="1"/>
  <c r="AA36" i="1"/>
  <c r="AT47" i="1"/>
  <c r="AS47" i="1"/>
  <c r="M46" i="1"/>
  <c r="P46" i="1"/>
  <c r="J46" i="1"/>
  <c r="N46" i="1"/>
  <c r="Z45" i="1"/>
  <c r="AA45" i="1"/>
  <c r="AB45" i="1"/>
  <c r="W45" i="1"/>
  <c r="Y45" i="1" s="1"/>
  <c r="AC45" i="1"/>
  <c r="AT19" i="1"/>
  <c r="I31" i="1"/>
  <c r="I32" i="1"/>
  <c r="W32" i="1"/>
  <c r="Y32" i="1" s="1"/>
  <c r="I36" i="1"/>
  <c r="F41" i="1"/>
  <c r="AA56" i="1"/>
  <c r="W56" i="1"/>
  <c r="Y56" i="1" s="1"/>
  <c r="Z55" i="1"/>
  <c r="AB50" i="1"/>
  <c r="F46" i="1"/>
  <c r="F44" i="1"/>
  <c r="AD61" i="1"/>
  <c r="AC60" i="1"/>
  <c r="W60" i="1"/>
  <c r="Y60" i="1" s="1"/>
  <c r="AR19" i="1"/>
  <c r="AA38" i="1"/>
  <c r="AG38" i="1"/>
  <c r="AD56" i="1"/>
  <c r="AB61" i="1"/>
  <c r="AB60" i="1"/>
  <c r="F59" i="1"/>
  <c r="AS61" i="1"/>
  <c r="AT61" i="1"/>
  <c r="AH61" i="1"/>
  <c r="AI61" i="1"/>
  <c r="AG61" i="1"/>
  <c r="AG59" i="1"/>
  <c r="AH59" i="1"/>
  <c r="AI59" i="1"/>
  <c r="T59" i="1"/>
  <c r="S59" i="1"/>
  <c r="AS59" i="1"/>
  <c r="AT59" i="1"/>
  <c r="J59" i="1"/>
  <c r="P59" i="1"/>
  <c r="M59" i="1"/>
  <c r="H59" i="1"/>
  <c r="N59" i="1"/>
  <c r="O59" i="1"/>
  <c r="S61" i="1"/>
  <c r="T61" i="1"/>
  <c r="AC61" i="1"/>
  <c r="AT60" i="1"/>
  <c r="AH60" i="1"/>
  <c r="AD60" i="1"/>
  <c r="AA59" i="1"/>
  <c r="W59" i="1"/>
  <c r="Y59" i="1" s="1"/>
  <c r="AD59" i="1"/>
  <c r="Z59" i="1"/>
  <c r="AA61" i="1"/>
  <c r="Z58" i="1"/>
  <c r="T58" i="1"/>
  <c r="S58" i="1"/>
  <c r="AT63" i="1"/>
  <c r="AS63" i="1"/>
  <c r="AI63" i="1"/>
  <c r="AH63" i="1"/>
  <c r="AG63" i="1"/>
  <c r="T63" i="1"/>
  <c r="S63" i="1"/>
  <c r="AC63" i="1"/>
  <c r="Z63" i="1"/>
  <c r="AD63" i="1"/>
  <c r="W63" i="1"/>
  <c r="Y63" i="1" s="1"/>
  <c r="AA63" i="1"/>
  <c r="AS58" i="1"/>
  <c r="AT58" i="1"/>
  <c r="AC57" i="1"/>
  <c r="Z57" i="1"/>
  <c r="AD57" i="1"/>
  <c r="W57" i="1"/>
  <c r="Y57" i="1" s="1"/>
  <c r="AA57" i="1"/>
  <c r="M56" i="1"/>
  <c r="H56" i="1"/>
  <c r="N56" i="1"/>
  <c r="O56" i="1"/>
  <c r="J56" i="1"/>
  <c r="P56" i="1"/>
  <c r="AT55" i="1"/>
  <c r="AS55" i="1"/>
  <c r="AH55" i="1"/>
  <c r="AI55" i="1"/>
  <c r="AG55" i="1"/>
  <c r="M47" i="1"/>
  <c r="H47" i="1"/>
  <c r="N47" i="1"/>
  <c r="O47" i="1"/>
  <c r="J47" i="1"/>
  <c r="P47" i="1"/>
  <c r="AT46" i="1"/>
  <c r="AS46" i="1"/>
  <c r="AH46" i="1"/>
  <c r="AI46" i="1"/>
  <c r="AG46" i="1"/>
  <c r="AG44" i="1"/>
  <c r="AH44" i="1"/>
  <c r="AI44" i="1"/>
  <c r="T44" i="1"/>
  <c r="S44" i="1"/>
  <c r="AG58" i="1"/>
  <c r="AH58" i="1"/>
  <c r="AG57" i="1"/>
  <c r="AH57" i="1"/>
  <c r="AI57" i="1"/>
  <c r="S57" i="1"/>
  <c r="T57" i="1"/>
  <c r="S55" i="1"/>
  <c r="T55" i="1"/>
  <c r="AG50" i="1"/>
  <c r="AH50" i="1"/>
  <c r="AI50" i="1"/>
  <c r="T50" i="1"/>
  <c r="S50" i="1"/>
  <c r="AS44" i="1"/>
  <c r="AT44" i="1"/>
  <c r="J44" i="1"/>
  <c r="P44" i="1"/>
  <c r="M44" i="1"/>
  <c r="H44" i="1"/>
  <c r="N44" i="1"/>
  <c r="O44" i="1"/>
  <c r="AS57" i="1"/>
  <c r="AT57" i="1"/>
  <c r="M57" i="1"/>
  <c r="H57" i="1"/>
  <c r="N57" i="1"/>
  <c r="O57" i="1"/>
  <c r="J57" i="1"/>
  <c r="P57" i="1"/>
  <c r="AS50" i="1"/>
  <c r="AT50" i="1"/>
  <c r="J50" i="1"/>
  <c r="P50" i="1"/>
  <c r="M50" i="1"/>
  <c r="H50" i="1"/>
  <c r="N50" i="1"/>
  <c r="O50" i="1"/>
  <c r="S46" i="1"/>
  <c r="T46" i="1"/>
  <c r="AD58" i="1"/>
  <c r="T56" i="1"/>
  <c r="F56" i="1"/>
  <c r="AC55" i="1"/>
  <c r="AT52" i="1"/>
  <c r="AH52" i="1"/>
  <c r="AD52" i="1"/>
  <c r="AA50" i="1"/>
  <c r="W50" i="1"/>
  <c r="Y50" i="1" s="1"/>
  <c r="T47" i="1"/>
  <c r="F47" i="1"/>
  <c r="AC46" i="1"/>
  <c r="AT45" i="1"/>
  <c r="AH45" i="1"/>
  <c r="AD45" i="1"/>
  <c r="AA44" i="1"/>
  <c r="W44" i="1"/>
  <c r="Y44" i="1" s="1"/>
  <c r="AI56" i="1"/>
  <c r="AD50" i="1"/>
  <c r="Z50" i="1"/>
  <c r="AD44" i="1"/>
  <c r="Z44" i="1"/>
  <c r="AG52" i="1"/>
  <c r="AA55" i="1"/>
  <c r="AA46" i="1"/>
  <c r="S32" i="1"/>
  <c r="I34" i="1"/>
  <c r="J35" i="1"/>
  <c r="T37" i="1"/>
  <c r="S37" i="1"/>
  <c r="T39" i="1"/>
  <c r="S39" i="1"/>
  <c r="AT41" i="1"/>
  <c r="AS41" i="1"/>
  <c r="AS32" i="1"/>
  <c r="O33" i="1"/>
  <c r="M33" i="1"/>
  <c r="P33" i="1"/>
  <c r="AA33" i="1"/>
  <c r="W33" i="1"/>
  <c r="Y33" i="1" s="1"/>
  <c r="AC33" i="1"/>
  <c r="AI33" i="1"/>
  <c r="AG33" i="1"/>
  <c r="AD35" i="1"/>
  <c r="Z35" i="1"/>
  <c r="AC35" i="1"/>
  <c r="AA35" i="1"/>
  <c r="W35" i="1"/>
  <c r="Y35" i="1" s="1"/>
  <c r="AI37" i="1"/>
  <c r="AH37" i="1"/>
  <c r="AG37" i="1"/>
  <c r="AT37" i="1"/>
  <c r="AS37" i="1"/>
  <c r="O38" i="1"/>
  <c r="N38" i="1"/>
  <c r="H38" i="1"/>
  <c r="M38" i="1"/>
  <c r="P38" i="1"/>
  <c r="J38" i="1"/>
  <c r="P41" i="1"/>
  <c r="J41" i="1"/>
  <c r="O41" i="1"/>
  <c r="N41" i="1"/>
  <c r="H41" i="1"/>
  <c r="M41" i="1"/>
  <c r="AI41" i="1"/>
  <c r="AH41" i="1"/>
  <c r="AG41" i="1"/>
  <c r="H33" i="1"/>
  <c r="Z33" i="1"/>
  <c r="AH33" i="1"/>
  <c r="T34" i="1"/>
  <c r="S34" i="1"/>
  <c r="AB35" i="1"/>
  <c r="AT35" i="1"/>
  <c r="AS35" i="1"/>
  <c r="AT39" i="1"/>
  <c r="AS39" i="1"/>
  <c r="T41" i="1"/>
  <c r="S41" i="1"/>
  <c r="N35" i="1"/>
  <c r="M35" i="1"/>
  <c r="O35" i="1"/>
  <c r="H35" i="1"/>
  <c r="AH35" i="1"/>
  <c r="AG35" i="1"/>
  <c r="AI35" i="1"/>
  <c r="P37" i="1"/>
  <c r="J37" i="1"/>
  <c r="O37" i="1"/>
  <c r="N37" i="1"/>
  <c r="H37" i="1"/>
  <c r="M37" i="1"/>
  <c r="N39" i="1"/>
  <c r="H39" i="1"/>
  <c r="M39" i="1"/>
  <c r="P39" i="1"/>
  <c r="J39" i="1"/>
  <c r="O39" i="1"/>
  <c r="AH39" i="1"/>
  <c r="AG39" i="1"/>
  <c r="AI39" i="1"/>
  <c r="Z32" i="1"/>
  <c r="AD32" i="1"/>
  <c r="AB34" i="1"/>
  <c r="Z36" i="1"/>
  <c r="AD36" i="1"/>
  <c r="AH36" i="1"/>
  <c r="AT36" i="1"/>
  <c r="AC37" i="1"/>
  <c r="F38" i="1"/>
  <c r="T38" i="1"/>
  <c r="AB38" i="1"/>
  <c r="W39" i="1"/>
  <c r="Y39" i="1" s="1"/>
  <c r="AA39" i="1"/>
  <c r="Z40" i="1"/>
  <c r="AD40" i="1"/>
  <c r="AH40" i="1"/>
  <c r="AT40" i="1"/>
  <c r="AC41" i="1"/>
  <c r="AI36" i="1"/>
  <c r="AB39" i="1"/>
  <c r="I40" i="1"/>
  <c r="S40" i="1"/>
  <c r="AI40" i="1"/>
  <c r="Z41" i="1"/>
  <c r="AD41" i="1"/>
  <c r="Z34" i="1"/>
  <c r="AH34" i="1"/>
  <c r="W37" i="1"/>
  <c r="Y37" i="1" s="1"/>
  <c r="AA37" i="1"/>
  <c r="Z38" i="1"/>
  <c r="AH38" i="1"/>
  <c r="AC39" i="1"/>
  <c r="W41" i="1"/>
  <c r="Y41" i="1" s="1"/>
  <c r="AA41" i="1"/>
  <c r="Z39" i="1"/>
  <c r="AT31" i="1"/>
  <c r="AB31" i="1"/>
  <c r="Z31" i="1"/>
  <c r="T31" i="1"/>
  <c r="S31" i="1"/>
  <c r="S19" i="1" l="1"/>
  <c r="T18" i="1"/>
  <c r="M45" i="1"/>
  <c r="N45" i="1"/>
  <c r="M63" i="1"/>
  <c r="J63" i="1"/>
  <c r="O45" i="1"/>
  <c r="P45" i="1"/>
  <c r="H45" i="1"/>
  <c r="M58" i="1"/>
  <c r="K31" i="1"/>
  <c r="L31" i="1"/>
  <c r="H63" i="1"/>
  <c r="K63" i="1"/>
  <c r="L63" i="1"/>
  <c r="K55" i="1"/>
  <c r="L55" i="1"/>
  <c r="M36" i="1"/>
  <c r="K36" i="1"/>
  <c r="L36" i="1"/>
  <c r="M60" i="1"/>
  <c r="K60" i="1"/>
  <c r="L60" i="1"/>
  <c r="O52" i="1"/>
  <c r="K52" i="1"/>
  <c r="L52" i="1"/>
  <c r="N63" i="1"/>
  <c r="P61" i="1"/>
  <c r="K61" i="1"/>
  <c r="L61" i="1"/>
  <c r="O58" i="1"/>
  <c r="K58" i="1"/>
  <c r="L58" i="1"/>
  <c r="K40" i="1"/>
  <c r="L40" i="1"/>
  <c r="K34" i="1"/>
  <c r="L34" i="1"/>
  <c r="O63" i="1"/>
  <c r="N32" i="1"/>
  <c r="K32" i="1"/>
  <c r="L32" i="1"/>
  <c r="K45" i="1"/>
  <c r="L45" i="1"/>
  <c r="N36" i="1"/>
  <c r="O61" i="1"/>
  <c r="H52" i="1"/>
  <c r="N58" i="1"/>
  <c r="M61" i="1"/>
  <c r="J32" i="1"/>
  <c r="N61" i="1"/>
  <c r="P36" i="1"/>
  <c r="O36" i="1"/>
  <c r="H36" i="1"/>
  <c r="J52" i="1"/>
  <c r="N52" i="1"/>
  <c r="J36" i="1"/>
  <c r="P52" i="1"/>
  <c r="M52" i="1"/>
  <c r="N60" i="1"/>
  <c r="P60" i="1"/>
  <c r="H58" i="1"/>
  <c r="H61" i="1"/>
  <c r="P58" i="1"/>
  <c r="J61" i="1"/>
  <c r="J60" i="1"/>
  <c r="O60" i="1"/>
  <c r="M32" i="1"/>
  <c r="P32" i="1"/>
  <c r="H32" i="1"/>
  <c r="O32" i="1"/>
  <c r="H60" i="1"/>
  <c r="S17" i="1"/>
  <c r="T17" i="1"/>
  <c r="AS17" i="1"/>
  <c r="AT17" i="1"/>
  <c r="AR17" i="1"/>
  <c r="M55" i="1"/>
  <c r="H55" i="1"/>
  <c r="O55" i="1"/>
  <c r="P55" i="1"/>
  <c r="J55" i="1"/>
  <c r="N55" i="1"/>
  <c r="AS18" i="1"/>
  <c r="AT18" i="1"/>
  <c r="AR18" i="1"/>
  <c r="M40" i="1"/>
  <c r="P40" i="1"/>
  <c r="J40" i="1"/>
  <c r="O40" i="1"/>
  <c r="N40" i="1"/>
  <c r="H40" i="1"/>
  <c r="N34" i="1"/>
  <c r="H34" i="1"/>
  <c r="P34" i="1"/>
  <c r="J34" i="1"/>
  <c r="O34" i="1"/>
  <c r="M34" i="1"/>
  <c r="Y27" i="1" l="1"/>
  <c r="D34" i="1" l="1"/>
  <c r="D35" i="1"/>
  <c r="D36" i="1"/>
  <c r="Z27" i="1" l="1"/>
  <c r="AA27" i="1" s="1"/>
  <c r="AB27" i="1" s="1"/>
  <c r="AC27" i="1" s="1"/>
  <c r="AD27" i="1" s="1"/>
  <c r="H31" i="1" l="1"/>
  <c r="I11" i="1"/>
  <c r="I12" i="1"/>
  <c r="I13" i="1"/>
  <c r="I14" i="1"/>
  <c r="J14" i="1" s="1"/>
  <c r="I15" i="1"/>
  <c r="N15" i="1" s="1"/>
  <c r="I17" i="1"/>
  <c r="I18" i="1"/>
  <c r="I19" i="1"/>
  <c r="M19" i="1" s="1"/>
  <c r="I20" i="1"/>
  <c r="N20" i="1" s="1"/>
  <c r="I21" i="1"/>
  <c r="I22" i="1"/>
  <c r="I23" i="1"/>
  <c r="O23" i="1" s="1"/>
  <c r="I24" i="1"/>
  <c r="N24" i="1" s="1"/>
  <c r="I25" i="1"/>
  <c r="I27" i="1"/>
  <c r="P31" i="1"/>
  <c r="O31" i="1"/>
  <c r="N31" i="1"/>
  <c r="M31" i="1"/>
  <c r="J31" i="1"/>
  <c r="M15" i="1" l="1"/>
  <c r="J24" i="1"/>
  <c r="J19" i="1"/>
  <c r="N23" i="1"/>
  <c r="P19" i="1"/>
  <c r="O14" i="1"/>
  <c r="M23" i="1"/>
  <c r="O19" i="1"/>
  <c r="P23" i="1"/>
  <c r="J23" i="1"/>
  <c r="N19" i="1"/>
  <c r="M14" i="1"/>
  <c r="N14" i="1"/>
  <c r="P14" i="1"/>
  <c r="P24" i="1"/>
  <c r="N27" i="1"/>
  <c r="L27" i="1"/>
  <c r="K27" i="1"/>
  <c r="J18" i="1"/>
  <c r="L18" i="1"/>
  <c r="K18" i="1"/>
  <c r="M17" i="1"/>
  <c r="K17" i="1"/>
  <c r="L17" i="1"/>
  <c r="M24" i="1"/>
  <c r="K24" i="1"/>
  <c r="L24" i="1"/>
  <c r="M20" i="1"/>
  <c r="K20" i="1"/>
  <c r="L20" i="1"/>
  <c r="O15" i="1"/>
  <c r="L15" i="1"/>
  <c r="K15" i="1"/>
  <c r="O11" i="1"/>
  <c r="L11" i="1"/>
  <c r="K11" i="1"/>
  <c r="J22" i="1"/>
  <c r="L22" i="1"/>
  <c r="K22" i="1"/>
  <c r="O13" i="1"/>
  <c r="K13" i="1"/>
  <c r="L13" i="1"/>
  <c r="O25" i="1"/>
  <c r="K25" i="1"/>
  <c r="L25" i="1"/>
  <c r="M21" i="1"/>
  <c r="K21" i="1"/>
  <c r="L21" i="1"/>
  <c r="O12" i="1"/>
  <c r="K12" i="1"/>
  <c r="L12" i="1"/>
  <c r="O17" i="1"/>
  <c r="K23" i="1"/>
  <c r="L23" i="1"/>
  <c r="K19" i="1"/>
  <c r="L19" i="1"/>
  <c r="K14" i="1"/>
  <c r="L14" i="1"/>
  <c r="P21" i="1"/>
  <c r="J17" i="1"/>
  <c r="P15" i="1"/>
  <c r="N12" i="1"/>
  <c r="N13" i="1"/>
  <c r="O22" i="1"/>
  <c r="J15" i="1"/>
  <c r="O21" i="1"/>
  <c r="O18" i="1"/>
  <c r="M12" i="1"/>
  <c r="M27" i="1"/>
  <c r="N25" i="1"/>
  <c r="M25" i="1"/>
  <c r="J21" i="1"/>
  <c r="P17" i="1"/>
  <c r="N22" i="1"/>
  <c r="J13" i="1"/>
  <c r="P25" i="1"/>
  <c r="J25" i="1"/>
  <c r="M22" i="1"/>
  <c r="N21" i="1"/>
  <c r="M18" i="1"/>
  <c r="N17" i="1"/>
  <c r="P12" i="1"/>
  <c r="J12" i="1"/>
  <c r="P27" i="1"/>
  <c r="J27" i="1"/>
  <c r="N18" i="1"/>
  <c r="O27" i="1"/>
  <c r="P22" i="1"/>
  <c r="P18" i="1"/>
  <c r="P13" i="1"/>
  <c r="O24" i="1"/>
  <c r="P20" i="1"/>
  <c r="J20" i="1"/>
  <c r="O20" i="1"/>
  <c r="N11" i="1"/>
  <c r="J11" i="1"/>
  <c r="M11" i="1"/>
  <c r="P11" i="1"/>
  <c r="M13" i="1"/>
  <c r="AH31" i="1"/>
  <c r="AM12" i="1" l="1"/>
  <c r="AM13" i="1"/>
  <c r="AM14" i="1"/>
  <c r="AM15" i="1"/>
  <c r="AM17" i="1"/>
  <c r="AM18" i="1"/>
  <c r="AM19" i="1"/>
  <c r="AM20" i="1"/>
  <c r="AM21" i="1"/>
  <c r="AM22" i="1"/>
  <c r="AM23" i="1"/>
  <c r="AM24" i="1"/>
  <c r="AM25" i="1"/>
  <c r="AM27" i="1"/>
  <c r="AM11" i="1"/>
  <c r="D31" i="1" l="1"/>
  <c r="AH11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7" i="1"/>
  <c r="AI20" i="1" l="1"/>
  <c r="AG20" i="1"/>
  <c r="AG19" i="1"/>
  <c r="AI19" i="1"/>
  <c r="AG18" i="1"/>
  <c r="AI18" i="1"/>
  <c r="AG17" i="1"/>
  <c r="AI17" i="1"/>
  <c r="AI24" i="1"/>
  <c r="AG24" i="1"/>
  <c r="AG21" i="1"/>
  <c r="AI21" i="1"/>
  <c r="AI23" i="1"/>
  <c r="AG23" i="1"/>
  <c r="AG27" i="1"/>
  <c r="AI27" i="1"/>
  <c r="AG25" i="1"/>
  <c r="AI25" i="1"/>
  <c r="AI22" i="1"/>
  <c r="AG22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Y31" i="1"/>
  <c r="X12" i="1"/>
  <c r="X13" i="1"/>
  <c r="X14" i="1"/>
  <c r="X15" i="1"/>
  <c r="X17" i="1"/>
  <c r="X18" i="1"/>
  <c r="X19" i="1"/>
  <c r="X20" i="1"/>
  <c r="X21" i="1"/>
  <c r="X22" i="1"/>
  <c r="X23" i="1"/>
  <c r="X24" i="1"/>
  <c r="X25" i="1"/>
  <c r="X27" i="1"/>
  <c r="X11" i="1"/>
  <c r="D59" i="1"/>
  <c r="D60" i="1"/>
  <c r="D61" i="1"/>
  <c r="D63" i="1"/>
  <c r="D58" i="1"/>
  <c r="D39" i="1"/>
  <c r="D38" i="1"/>
  <c r="D56" i="1"/>
  <c r="D55" i="1"/>
  <c r="D52" i="1"/>
  <c r="D46" i="1"/>
  <c r="D41" i="1"/>
  <c r="D40" i="1"/>
  <c r="D33" i="1"/>
  <c r="D32" i="1"/>
  <c r="D27" i="1"/>
  <c r="D25" i="1"/>
  <c r="D18" i="1"/>
  <c r="D17" i="1"/>
  <c r="D14" i="1"/>
  <c r="D11" i="1"/>
  <c r="D37" i="1"/>
  <c r="D44" i="1"/>
  <c r="D45" i="1"/>
  <c r="D47" i="1"/>
  <c r="D50" i="1"/>
  <c r="D57" i="1"/>
  <c r="D23" i="1"/>
  <c r="D22" i="1"/>
  <c r="D21" i="1"/>
  <c r="D20" i="1"/>
  <c r="D19" i="1"/>
  <c r="D15" i="1"/>
  <c r="D13" i="1"/>
  <c r="D12" i="1"/>
  <c r="AA23" i="1" l="1"/>
  <c r="AB23" i="1"/>
  <c r="Z23" i="1"/>
  <c r="AC23" i="1"/>
  <c r="AD23" i="1"/>
  <c r="AC22" i="1"/>
  <c r="Z22" i="1"/>
  <c r="AD22" i="1"/>
  <c r="AA22" i="1"/>
  <c r="AB22" i="1"/>
  <c r="AA13" i="1"/>
  <c r="AB13" i="1"/>
  <c r="AC13" i="1"/>
  <c r="Z13" i="1"/>
  <c r="AD13" i="1"/>
  <c r="AA25" i="1"/>
  <c r="Z25" i="1"/>
  <c r="AB25" i="1"/>
  <c r="AC25" i="1"/>
  <c r="AD25" i="1"/>
  <c r="Z21" i="1"/>
  <c r="AA21" i="1"/>
  <c r="AD21" i="1"/>
  <c r="AB21" i="1"/>
  <c r="AC21" i="1"/>
  <c r="AC17" i="1"/>
  <c r="Z17" i="1"/>
  <c r="AD17" i="1"/>
  <c r="AA17" i="1"/>
  <c r="AB17" i="1"/>
  <c r="AC12" i="1"/>
  <c r="Z12" i="1"/>
  <c r="AD12" i="1"/>
  <c r="AA12" i="1"/>
  <c r="AB12" i="1"/>
  <c r="AC19" i="1"/>
  <c r="Z19" i="1"/>
  <c r="AD19" i="1"/>
  <c r="AA19" i="1"/>
  <c r="AB19" i="1"/>
  <c r="AC14" i="1"/>
  <c r="Z14" i="1"/>
  <c r="AD14" i="1"/>
  <c r="AA14" i="1"/>
  <c r="AB14" i="1"/>
  <c r="AA18" i="1"/>
  <c r="AB18" i="1"/>
  <c r="AC18" i="1"/>
  <c r="AD18" i="1"/>
  <c r="Z18" i="1"/>
  <c r="AC24" i="1"/>
  <c r="Z24" i="1"/>
  <c r="AD24" i="1"/>
  <c r="AB24" i="1"/>
  <c r="AA24" i="1"/>
  <c r="AA20" i="1"/>
  <c r="AB20" i="1"/>
  <c r="Z20" i="1"/>
  <c r="AD20" i="1"/>
  <c r="AC20" i="1"/>
  <c r="AA15" i="1"/>
  <c r="AB15" i="1"/>
  <c r="AD15" i="1"/>
  <c r="Z15" i="1"/>
  <c r="AC15" i="1"/>
  <c r="Z11" i="1"/>
  <c r="AA11" i="1"/>
  <c r="AB11" i="1"/>
  <c r="AC11" i="1"/>
  <c r="AD11" i="1"/>
  <c r="Q16" i="1" l="1"/>
  <c r="T16" i="1" s="1"/>
  <c r="S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40B25837-FB7D-4415-BCEC-BA21C44DE54E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<sst xmlns="http://schemas.openxmlformats.org/spreadsheetml/2006/main" count="301" uniqueCount="194">
  <si>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</si>
  <si>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</si>
  <si>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</si>
  <si>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</si>
  <si>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</si>
  <si>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</si>
  <si>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</si>
  <si>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</si>
  <si>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</si>
  <si>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</si>
  <si>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</si>
  <si>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</si>
  <si>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</si>
  <si>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</si>
  <si>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</si>
  <si>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</si>
  <si>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</si>
  <si>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</si>
  <si>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</si>
  <si>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</si>
  <si>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</si>
  <si>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</si>
  <si>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</si>
  <si>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</si>
  <si>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</si>
  <si>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</si>
  <si>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</si>
  <si>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</si>
  <si>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</si>
  <si>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</si>
  <si>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</si>
  <si>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Disclaimer:</t>
  </si>
  <si>
    <t>See the Notes below for All Tariffs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</si>
  <si>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</si>
  <si>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</si>
  <si>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</si>
  <si>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</si>
  <si>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</si>
  <si>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</si>
  <si>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</si>
  <si>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</si>
  <si>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</si>
  <si>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</si>
  <si>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</si>
  <si>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</si>
  <si>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</si>
  <si>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</si>
  <si>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</si>
  <si>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</si>
  <si>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</si>
  <si>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</si>
  <si>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</si>
  <si>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</si>
  <si>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</si>
  <si>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</si>
  <si>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</si>
  <si>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</si>
  <si>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</si>
  <si>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</si>
  <si>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</si>
  <si>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</si>
  <si>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</si>
  <si>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</si>
  <si>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</si>
  <si>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</si>
  <si>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</si>
  <si>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</si>
  <si>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</si>
  <si>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</si>
  <si>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</si>
  <si>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</si>
  <si>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</si>
  <si>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</si>
  <si>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</si>
  <si>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</si>
  <si>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</si>
  <si>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</si>
  <si>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</si>
  <si>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</si>
  <si>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</si>
  <si>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</si>
  <si>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</si>
  <si>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</si>
  <si>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</si>
  <si>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</si>
  <si>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</si>
  <si>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</si>
  <si>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</si>
  <si>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</si>
  <si>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</si>
  <si>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</si>
  <si>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</si>
  <si>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</si>
  <si>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</si>
  <si>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</si>
  <si>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</si>
  <si>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</si>
  <si>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</si>
  <si>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</si>
  <si>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</si>
  <si>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</si>
  <si>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</si>
  <si>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</si>
  <si>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</si>
  <si>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</si>
  <si>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</si>
  <si>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</si>
  <si>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</si>
  <si>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</si>
  <si>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</si>
  <si>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</si>
  <si>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</si>
  <si>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</si>
  <si>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</si>
  <si>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</si>
  <si>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</si>
  <si>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</si>
  <si>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</si>
  <si>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</si>
  <si>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</si>
  <si>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</si>
  <si>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</si>
  <si>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</si>
  <si>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</si>
  <si>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</si>
  <si>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</si>
  <si>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</si>
  <si>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</si>
  <si>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</si>
  <si>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</si>
  <si>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</si>
  <si>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</si>
  <si>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</si>
  <si>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</si>
  <si>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</si>
  <si>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</si>
  <si>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</si>
  <si>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</si>
  <si>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</si>
  <si>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</si>
  <si>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</si>
  <si>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</si>
  <si>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</si>
  <si>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</si>
  <si>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</si>
  <si>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</si>
  <si>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</si>
  <si>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</si>
  <si>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</si>
  <si>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24 Hour ambulatory ECG monitoring (holter): Hire fee</t>
  </si>
  <si>
    <t>8. All Tariffs are inlcusive of VAT (15%)</t>
  </si>
  <si>
    <t>0193</t>
  </si>
  <si>
    <t>HEALTHMAN CARDIOLOGY COSTING GUIDE 2021</t>
  </si>
  <si>
    <t>Cardioversion for arrhythmias (any method) with doctor in attendance</t>
  </si>
  <si>
    <t>Left heart catheterisation with coronary angiography (with or without biopsy)</t>
  </si>
  <si>
    <t>Threshold testing: Own equipment</t>
  </si>
  <si>
    <t>Programming of atrio-ventricular sequential pacemaker/pulse generator/neurostimulator</t>
  </si>
  <si>
    <t>Percutaneous transluminal angioplasty: Second cardiologist: Single lesion</t>
  </si>
  <si>
    <t>Percutaneous transluminal angioplasty: First cardiologist: Third or subsequent lesions (each)</t>
  </si>
  <si>
    <t>Atherectomy: Single lesion: First cardiologist</t>
  </si>
  <si>
    <t>Trans-oesophageal echocardiography including passing the device</t>
  </si>
  <si>
    <t xml:space="preserve">Full ultrasonic and colour Doppler evaluation of entire extracranial vascular tree: Carotids, vertebral and subclavian vessels </t>
  </si>
  <si>
    <t>1232</t>
  </si>
  <si>
    <t>1235</t>
  </si>
  <si>
    <t>3620</t>
  </si>
  <si>
    <t>3621</t>
  </si>
  <si>
    <t>3622</t>
  </si>
  <si>
    <t>3625</t>
  </si>
  <si>
    <t>5110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</si>
  <si>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</si>
  <si>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</si>
  <si>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</si>
  <si>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</si>
  <si>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 xml:space="preserve">            Non-Network
RCF</t>
  </si>
  <si>
    <t>Polmed Network</t>
  </si>
  <si>
    <t>Polmed Non Network</t>
  </si>
  <si>
    <t xml:space="preserve">    Please note that many of the descriptors are shortened versions.  For the full descriptors please refer to the 2020/21 SAMA eMDCM.</t>
  </si>
  <si>
    <t>2. Tariffs may differ due to rounding.</t>
  </si>
  <si>
    <t>3. The above codes are the most frequently used codes per discipline and is not an all-inclusive list of all the codes used.</t>
  </si>
  <si>
    <t xml:space="preserve">4. The HealthMan Rate increased by 5.3% (equal to our current assessment of medical inflation). </t>
  </si>
  <si>
    <t>5. POLMED</t>
  </si>
  <si>
    <t xml:space="preserve">5.1 Please familiarise yourself with the changes in the POLMED DPA. </t>
  </si>
  <si>
    <t>5.2 Polmed implemented a differential increase between Network and Non-Network base rates</t>
  </si>
  <si>
    <t>5.3 The Network rate increased with 3.5% compared to the Non-Network that increased only 1.5%.    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</si>
  <si>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</si>
  <si>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</si>
  <si>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</si>
  <si>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</si>
  <si>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</si>
  <si>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6.5 Please note that Fedhealth introduced a Gynae Network rate for codes 2614 and 2615 at 165% for the lower options, instead of the usual scheme rate. </t>
  </si>
  <si>
    <t>12. Please note the SAMA 2021 eMDCM has not yet been published as of 19 January 2021</t>
  </si>
  <si>
    <t>13. The changes in Psychiatry coding effective 2021 has not yet been accepted by the Funders and should be coded as usual.</t>
  </si>
  <si>
    <t xml:space="preserve">        HealthMan, PsychMg and SASOP will communicate to the members as soon as they are being accepted and published by funders.</t>
  </si>
  <si>
    <t>Please refer to the Notes and Discllaimer on the Digital version of this document before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</si>
</sst>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0.000"/>
    <numFmt numFmtId="167" formatCode="_(* #,##0.000_);_(* \(#,##0.000\);_(* &quot;-&quot;??_);_(@_)"/>
    <numFmt numFmtId="168" formatCode="[$R-1C09]\ #,##0.00"/>
  </numFmts>
  <fonts count="4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6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5" fontId="29" fillId="0" borderId="20" xfId="1" applyNumberFormat="1" applyFont="1" applyFill="1" applyBorder="1" applyProtection="1"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32" fillId="2" borderId="7" xfId="0" applyNumberFormat="1" applyFont="1" applyFill="1" applyBorder="1" applyProtection="1">
      <protection hidden="1"/>
    </xf>
    <xf numFmtId="0" fontId="32" fillId="2" borderId="17" xfId="0" applyFont="1" applyFill="1" applyBorder="1" applyAlignment="1" applyProtection="1">
      <alignment horizontal="left" wrapText="1"/>
      <protection hidden="1"/>
    </xf>
    <xf numFmtId="0" fontId="32" fillId="2" borderId="20" xfId="1" applyNumberFormat="1" applyFont="1" applyFill="1" applyBorder="1" applyProtection="1">
      <protection hidden="1"/>
    </xf>
    <xf numFmtId="164" fontId="32" fillId="2" borderId="20" xfId="1" applyFont="1" applyFill="1" applyBorder="1" applyProtection="1">
      <protection hidden="1"/>
    </xf>
    <xf numFmtId="165" fontId="32" fillId="2" borderId="20" xfId="1" applyNumberFormat="1" applyFont="1" applyFill="1" applyBorder="1" applyProtection="1">
      <protection hidden="1"/>
    </xf>
    <xf numFmtId="164" fontId="32" fillId="0" borderId="20" xfId="1" applyFont="1" applyFill="1" applyBorder="1" applyProtection="1">
      <protection hidden="1"/>
    </xf>
    <xf numFmtId="164" fontId="32" fillId="6" borderId="20" xfId="1" applyFont="1" applyFill="1" applyBorder="1" applyProtection="1">
      <protection hidden="1"/>
    </xf>
    <xf numFmtId="165" fontId="32" fillId="0" borderId="20" xfId="1" applyNumberFormat="1" applyFont="1" applyFill="1" applyBorder="1" applyProtection="1">
      <protection hidden="1"/>
    </xf>
    <xf numFmtId="0" fontId="33" fillId="2" borderId="0" xfId="0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28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25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0" fontId="27" fillId="11" borderId="1" xfId="0" applyFont="1" applyFill="1" applyBorder="1" applyProtection="1">
      <protection hidden="1"/>
    </xf>
    <xf numFmtId="0" fontId="27" fillId="11" borderId="1" xfId="0" applyFont="1" applyFill="1" applyBorder="1" applyAlignment="1" applyProtection="1">
      <alignment horizontal="center"/>
      <protection hidden="1"/>
    </xf>
    <xf numFmtId="0" fontId="27" fillId="11" borderId="1" xfId="0" quotePrefix="1" applyFont="1" applyFill="1" applyBorder="1" applyAlignment="1" applyProtection="1">
      <alignment horizontal="center"/>
      <protection hidden="1"/>
    </xf>
    <xf numFmtId="165" fontId="27" fillId="11" borderId="1" xfId="1" applyNumberFormat="1" applyFont="1" applyFill="1" applyBorder="1" applyAlignment="1" applyProtection="1">
      <alignment horizontal="center" wrapText="1"/>
      <protection hidden="1"/>
    </xf>
    <xf numFmtId="165" fontId="27" fillId="11" borderId="1" xfId="1" applyNumberFormat="1" applyFont="1" applyFill="1" applyBorder="1" applyAlignment="1" applyProtection="1">
      <alignment horizontal="center"/>
      <protection hidden="1"/>
    </xf>
    <xf numFmtId="0" fontId="27" fillId="11" borderId="1" xfId="0" applyFont="1" applyFill="1" applyBorder="1" applyAlignment="1" applyProtection="1">
      <alignment wrapText="1"/>
      <protection hidden="1"/>
    </xf>
    <xf numFmtId="0" fontId="27" fillId="11" borderId="1" xfId="0" applyFont="1" applyFill="1" applyBorder="1" applyAlignment="1" applyProtection="1">
      <alignment horizontal="center" wrapText="1"/>
      <protection hidden="1"/>
    </xf>
    <xf numFmtId="0" fontId="27" fillId="11" borderId="1" xfId="0" quotePrefix="1" applyFont="1" applyFill="1" applyBorder="1" applyAlignment="1" applyProtection="1">
      <alignment horizontal="center" wrapText="1"/>
      <protection hidden="1"/>
    </xf>
    <xf numFmtId="165" fontId="27" fillId="11" borderId="1" xfId="1" applyNumberFormat="1" applyFont="1" applyFill="1" applyBorder="1" applyAlignment="1" applyProtection="1">
      <alignment wrapText="1"/>
      <protection hidden="1"/>
    </xf>
    <xf numFmtId="165" fontId="27" fillId="11" borderId="1" xfId="1" applyNumberFormat="1" applyFont="1" applyFill="1" applyBorder="1" applyProtection="1">
      <protection hidden="1"/>
    </xf>
    <xf numFmtId="165" fontId="20" fillId="12" borderId="1" xfId="1" applyNumberFormat="1" applyFont="1" applyFill="1" applyBorder="1" applyAlignment="1" applyProtection="1">
      <alignment horizontal="center"/>
      <protection hidden="1"/>
    </xf>
    <xf numFmtId="167" fontId="20" fillId="0" borderId="1" xfId="1" applyNumberFormat="1" applyFont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Protection="1">
      <protection hidden="1"/>
    </xf>
    <xf numFmtId="0" fontId="34" fillId="2" borderId="4" xfId="0" applyFont="1" applyFill="1" applyBorder="1" applyProtection="1">
      <protection hidden="1"/>
    </xf>
    <xf numFmtId="0" fontId="35" fillId="0" borderId="0" xfId="0" applyFont="1"/>
    <xf numFmtId="0" fontId="36" fillId="0" borderId="0" xfId="0" applyFont="1"/>
    <xf numFmtId="0" fontId="36" fillId="2" borderId="0" xfId="0" applyFont="1" applyFill="1"/>
    <xf numFmtId="0" fontId="35" fillId="2" borderId="0" xfId="0" applyFont="1" applyFill="1" applyAlignment="1">
      <alignment vertical="center"/>
    </xf>
    <xf numFmtId="0" fontId="37" fillId="0" borderId="0" xfId="0" applyFont="1"/>
    <xf numFmtId="0" fontId="38" fillId="2" borderId="4" xfId="0" applyFont="1" applyFill="1" applyBorder="1" applyProtection="1">
      <protection hidden="1"/>
    </xf>
    <xf numFmtId="0" fontId="39" fillId="2" borderId="4" xfId="0" applyFont="1" applyFill="1" applyBorder="1" applyProtection="1">
      <protection hidden="1"/>
    </xf>
    <xf numFmtId="0" fontId="29" fillId="2" borderId="0" xfId="0" applyFont="1" applyFill="1" applyAlignment="1" applyProtection="1">
      <alignment wrapText="1"/>
      <protection hidden="1"/>
    </xf>
    <xf numFmtId="164" fontId="29" fillId="2" borderId="0" xfId="1" applyFont="1" applyFill="1" applyBorder="1" applyAlignment="1" applyProtection="1">
      <alignment wrapText="1"/>
      <protection hidden="1"/>
    </xf>
    <xf numFmtId="165" fontId="29" fillId="2" borderId="0" xfId="1" applyNumberFormat="1" applyFont="1" applyFill="1" applyBorder="1" applyAlignment="1" applyProtection="1">
      <alignment wrapText="1"/>
      <protection hidden="1"/>
    </xf>
    <xf numFmtId="165" fontId="29" fillId="2" borderId="10" xfId="1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Border="1" applyProtection="1">
      <protection hidden="1"/>
    </xf>
    <xf numFmtId="0" fontId="36" fillId="0" borderId="0" xfId="0" applyFont="1" applyAlignment="1">
      <alignment vertical="center"/>
    </xf>
    <xf numFmtId="49" fontId="40" fillId="13" borderId="4" xfId="0" applyNumberFormat="1" applyFont="1" applyFill="1" applyBorder="1" applyProtection="1">
      <protection hidden="1"/>
    </xf>
    <xf numFmtId="0" fontId="41" fillId="13" borderId="0" xfId="0" applyFont="1" applyFill="1" applyProtection="1">
      <protection hidden="1"/>
    </xf>
    <xf numFmtId="165" fontId="41" fillId="13" borderId="0" xfId="1" applyNumberFormat="1" applyFont="1" applyFill="1" applyBorder="1" applyProtection="1">
      <protection hidden="1"/>
    </xf>
    <xf numFmtId="164" fontId="41" fillId="13" borderId="0" xfId="1" applyFont="1" applyFill="1" applyBorder="1" applyProtection="1">
      <protection hidden="1"/>
    </xf>
    <xf numFmtId="165" fontId="40" fillId="13" borderId="0" xfId="1" applyNumberFormat="1" applyFont="1" applyFill="1" applyBorder="1" applyProtection="1">
      <protection hidden="1"/>
    </xf>
    <xf numFmtId="168" fontId="41" fillId="13" borderId="0" xfId="0" applyNumberFormat="1" applyFont="1" applyFill="1" applyProtection="1">
      <protection hidden="1"/>
    </xf>
    <xf numFmtId="165" fontId="41" fillId="13" borderId="0" xfId="0" applyNumberFormat="1" applyFont="1" applyFill="1" applyProtection="1">
      <protection hidden="1"/>
    </xf>
    <xf numFmtId="164" fontId="40" fillId="13" borderId="0" xfId="1" applyFont="1" applyFill="1" applyBorder="1" applyProtection="1">
      <protection hidden="1"/>
    </xf>
    <xf numFmtId="165" fontId="40" fillId="13" borderId="1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5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09" bestFit="1" customWidth="1"/>
    <col min="2" max="2" width="65.42578125" style="110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5703125" style="9" bestFit="1" customWidth="1"/>
    <col min="15" max="15" width="10.5703125" style="4" bestFit="1" customWidth="1"/>
    <col min="16" max="16" width="10.5703125" style="4" customWidth="1"/>
    <col min="17" max="17" width="10.7109375" style="8" customWidth="1"/>
    <col min="18" max="18" width="10.7109375" style="9" customWidth="1"/>
    <col min="19" max="19" width="10.5703125" style="4" bestFit="1" customWidth="1"/>
    <col min="20" max="20" width="10.5703125" style="4" customWidth="1"/>
    <col min="21" max="21" width="10.7109375" style="8" customWidth="1"/>
    <col min="22" max="22" width="10.7109375" style="9" customWidth="1"/>
    <col min="23" max="23" width="10.140625" style="10" bestFit="1" customWidth="1"/>
    <col min="24" max="24" width="10.42578125" style="11" customWidth="1"/>
    <col min="25" max="25" width="9.42578125" style="4" bestFit="1" customWidth="1"/>
    <col min="26" max="28" width="10.5703125" style="4" bestFit="1" customWidth="1"/>
    <col min="29" max="29" width="10.28515625" style="4" customWidth="1"/>
    <col min="30" max="30" width="10.5703125" style="4" bestFit="1" customWidth="1"/>
    <col min="31" max="31" width="10.140625" style="12" bestFit="1" customWidth="1"/>
    <col min="32" max="32" width="10.42578125" style="9" bestFit="1" customWidth="1"/>
    <col min="33" max="34" width="10.85546875" style="9" customWidth="1"/>
    <col min="35" max="35" width="10.5703125" style="9" hidden="1" customWidth="1"/>
    <col min="36" max="36" width="10.140625" style="8" bestFit="1" customWidth="1"/>
    <col min="37" max="37" width="10.7109375" style="9" customWidth="1"/>
    <col min="38" max="38" width="10.140625" style="8" bestFit="1" customWidth="1"/>
    <col min="39" max="39" width="11" style="9" customWidth="1"/>
    <col min="40" max="40" width="10.140625" style="12" bestFit="1" customWidth="1"/>
    <col min="41" max="41" width="10.42578125" style="9" bestFit="1" customWidth="1"/>
    <col min="42" max="42" width="10.85546875" style="9" customWidth="1"/>
    <col min="43" max="43" width="10.140625" style="12" bestFit="1" customWidth="1"/>
    <col min="44" max="44" width="10.42578125" style="9" bestFit="1" customWidth="1"/>
    <col min="45" max="46" width="10.85546875" style="9" customWidth="1"/>
    <col min="47" max="47" width="10.140625" style="12" bestFit="1" customWidth="1"/>
    <col min="48" max="48" width="10.42578125" style="9" bestFit="1" customWidth="1"/>
    <col min="49" max="49" width="10.140625" style="12" bestFit="1" customWidth="1"/>
    <col min="50" max="50" width="10.42578125" style="9" bestFit="1" customWidth="1"/>
    <col min="51" max="52" width="11.42578125" style="9" bestFit="1" customWidth="1"/>
    <col min="53" max="53" width="9.140625" style="4" customWidth="1"/>
    <col min="54" max="16384" width="9.140625" style="4"/>
  </cols>
  <sheetData>
    <row r="1" spans="1:52" ht="23.25" x14ac:dyDescent="0.35">
      <c r="A1" s="1" t="s">
        <v>152</v>
      </c>
      <c r="B1" s="2"/>
      <c r="C1" s="2"/>
      <c r="D1" s="2"/>
      <c r="E1" s="2"/>
      <c r="F1" s="111"/>
      <c r="G1" s="2"/>
      <c r="H1" s="111"/>
      <c r="I1" s="2"/>
      <c r="J1" s="2"/>
      <c r="K1" s="2"/>
      <c r="L1" s="2"/>
      <c r="M1" s="2"/>
      <c r="N1" s="2"/>
      <c r="O1" s="2"/>
      <c r="P1" s="2"/>
      <c r="Q1" s="111"/>
      <c r="R1" s="2"/>
      <c r="S1" s="2"/>
      <c r="T1" s="2"/>
      <c r="U1" s="11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5"/>
      <c r="B2" s="6"/>
      <c r="C2" s="7"/>
    </row>
    <row r="3" spans="1:52" ht="15.75" x14ac:dyDescent="0.25">
      <c r="A3" s="119" t="s">
        <v>95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1:52" ht="15.75" x14ac:dyDescent="0.25">
      <c r="A4" s="122"/>
      <c r="B4" s="123"/>
      <c r="C4" s="147"/>
      <c r="D4" s="262" t="s">
        <v>106</v>
      </c>
      <c r="E4" s="264"/>
      <c r="F4" s="270" t="s">
        <v>107</v>
      </c>
      <c r="G4" s="271"/>
      <c r="H4" s="271"/>
      <c r="I4" s="271"/>
      <c r="J4" s="271"/>
      <c r="K4" s="271"/>
      <c r="L4" s="271"/>
      <c r="M4" s="271"/>
      <c r="N4" s="271"/>
      <c r="O4" s="271"/>
      <c r="P4" s="272"/>
      <c r="Q4" s="262" t="s">
        <v>76</v>
      </c>
      <c r="R4" s="263"/>
      <c r="S4" s="263"/>
      <c r="T4" s="264"/>
      <c r="U4" s="262" t="s">
        <v>77</v>
      </c>
      <c r="V4" s="263"/>
      <c r="W4" s="263"/>
      <c r="X4" s="263"/>
      <c r="Y4" s="263"/>
      <c r="Z4" s="263"/>
      <c r="AA4" s="263"/>
      <c r="AB4" s="263"/>
      <c r="AC4" s="263"/>
      <c r="AD4" s="264"/>
      <c r="AE4" s="262" t="s">
        <v>79</v>
      </c>
      <c r="AF4" s="263"/>
      <c r="AG4" s="263"/>
      <c r="AH4" s="263"/>
      <c r="AI4" s="264"/>
      <c r="AJ4" s="262" t="s">
        <v>87</v>
      </c>
      <c r="AK4" s="263"/>
      <c r="AL4" s="263"/>
      <c r="AM4" s="264"/>
      <c r="AN4" s="262" t="s">
        <v>88</v>
      </c>
      <c r="AO4" s="263"/>
      <c r="AP4" s="264"/>
      <c r="AQ4" s="265" t="s">
        <v>108</v>
      </c>
      <c r="AR4" s="266"/>
      <c r="AS4" s="266"/>
      <c r="AT4" s="266"/>
      <c r="AU4" s="267" t="s">
        <v>109</v>
      </c>
      <c r="AV4" s="268"/>
      <c r="AW4" s="268"/>
      <c r="AX4" s="268"/>
      <c r="AY4" s="268"/>
      <c r="AZ4" s="269"/>
    </row>
    <row r="5" spans="1:52" ht="73.5" customHeight="1" x14ac:dyDescent="0.2">
      <c r="A5" s="13" t="s">
        <v>0</v>
      </c>
      <c r="B5" s="14" t="s">
        <v>1</v>
      </c>
      <c r="C5" s="148" t="s">
        <v>2</v>
      </c>
      <c r="D5" s="15" t="s">
        <v>110</v>
      </c>
      <c r="E5" s="16" t="s">
        <v>111</v>
      </c>
      <c r="F5" s="15" t="s">
        <v>112</v>
      </c>
      <c r="G5" s="15" t="s">
        <v>113</v>
      </c>
      <c r="H5" s="15" t="s">
        <v>114</v>
      </c>
      <c r="I5" s="15" t="s">
        <v>115</v>
      </c>
      <c r="J5" s="16" t="s">
        <v>117</v>
      </c>
      <c r="K5" s="16" t="s">
        <v>117</v>
      </c>
      <c r="L5" s="16" t="s">
        <v>117</v>
      </c>
      <c r="M5" s="16" t="s">
        <v>117</v>
      </c>
      <c r="N5" s="16" t="s">
        <v>117</v>
      </c>
      <c r="O5" s="16" t="s">
        <v>117</v>
      </c>
      <c r="P5" s="16" t="s">
        <v>117</v>
      </c>
      <c r="Q5" s="15" t="s">
        <v>116</v>
      </c>
      <c r="R5" s="16" t="s">
        <v>111</v>
      </c>
      <c r="S5" s="16" t="s">
        <v>117</v>
      </c>
      <c r="T5" s="16" t="s">
        <v>117</v>
      </c>
      <c r="U5" s="15" t="s">
        <v>112</v>
      </c>
      <c r="V5" s="16" t="s">
        <v>173</v>
      </c>
      <c r="W5" s="15" t="s">
        <v>114</v>
      </c>
      <c r="X5" s="15" t="s">
        <v>115</v>
      </c>
      <c r="Y5" s="149" t="s">
        <v>118</v>
      </c>
      <c r="Z5" s="149" t="s">
        <v>119</v>
      </c>
      <c r="AA5" s="149" t="s">
        <v>120</v>
      </c>
      <c r="AB5" s="149" t="s">
        <v>121</v>
      </c>
      <c r="AC5" s="149" t="s">
        <v>122</v>
      </c>
      <c r="AD5" s="149" t="s">
        <v>123</v>
      </c>
      <c r="AE5" s="15" t="s">
        <v>124</v>
      </c>
      <c r="AF5" s="15" t="s">
        <v>111</v>
      </c>
      <c r="AG5" s="15" t="s">
        <v>117</v>
      </c>
      <c r="AH5" s="15" t="s">
        <v>117</v>
      </c>
      <c r="AI5" s="15" t="s">
        <v>117</v>
      </c>
      <c r="AJ5" s="15" t="s">
        <v>125</v>
      </c>
      <c r="AK5" s="15" t="s">
        <v>126</v>
      </c>
      <c r="AL5" s="15" t="s">
        <v>127</v>
      </c>
      <c r="AM5" s="15" t="s">
        <v>128</v>
      </c>
      <c r="AN5" s="15" t="s">
        <v>129</v>
      </c>
      <c r="AO5" s="16" t="s">
        <v>111</v>
      </c>
      <c r="AP5" s="16" t="s">
        <v>117</v>
      </c>
      <c r="AQ5" s="15" t="s">
        <v>127</v>
      </c>
      <c r="AR5" s="16" t="s">
        <v>111</v>
      </c>
      <c r="AS5" s="15" t="s">
        <v>130</v>
      </c>
      <c r="AT5" s="15" t="s">
        <v>130</v>
      </c>
      <c r="AU5" s="15" t="s">
        <v>131</v>
      </c>
      <c r="AV5" s="15" t="s">
        <v>132</v>
      </c>
      <c r="AW5" s="15" t="s">
        <v>133</v>
      </c>
      <c r="AX5" s="16" t="s">
        <v>134</v>
      </c>
      <c r="AY5" s="15" t="s">
        <v>135</v>
      </c>
      <c r="AZ5" s="16" t="s">
        <v>51</v>
      </c>
    </row>
    <row r="6" spans="1:52" ht="13.5" customHeight="1" x14ac:dyDescent="0.2">
      <c r="A6" s="17"/>
      <c r="B6" s="18"/>
      <c r="C6" s="150"/>
      <c r="D6" s="19"/>
      <c r="E6" s="20"/>
      <c r="F6" s="112"/>
      <c r="G6" s="20"/>
      <c r="H6" s="112"/>
      <c r="I6" s="20"/>
      <c r="J6" s="23">
        <v>1.1000000000000001</v>
      </c>
      <c r="K6" s="23">
        <v>1.37</v>
      </c>
      <c r="L6" s="23">
        <v>1.47</v>
      </c>
      <c r="M6" s="23">
        <v>1.62</v>
      </c>
      <c r="N6" s="23">
        <v>2</v>
      </c>
      <c r="O6" s="23">
        <v>2.15</v>
      </c>
      <c r="P6" s="23">
        <v>3</v>
      </c>
      <c r="Q6" s="112"/>
      <c r="R6" s="20"/>
      <c r="S6" s="23">
        <v>1.3</v>
      </c>
      <c r="T6" s="23">
        <v>1.5</v>
      </c>
      <c r="U6" s="19"/>
      <c r="V6" s="21"/>
      <c r="W6" s="19"/>
      <c r="X6" s="21"/>
      <c r="Y6" s="22">
        <v>1.1000000000000001</v>
      </c>
      <c r="Z6" s="22">
        <v>1.37</v>
      </c>
      <c r="AA6" s="22">
        <v>1.62</v>
      </c>
      <c r="AB6" s="22">
        <v>1.47</v>
      </c>
      <c r="AC6" s="22">
        <v>2.17</v>
      </c>
      <c r="AD6" s="22">
        <v>3</v>
      </c>
      <c r="AE6" s="19"/>
      <c r="AF6" s="19"/>
      <c r="AG6" s="23">
        <v>1.65</v>
      </c>
      <c r="AH6" s="23">
        <v>2.1</v>
      </c>
      <c r="AI6" s="23">
        <v>3</v>
      </c>
      <c r="AJ6" s="19"/>
      <c r="AK6" s="21"/>
      <c r="AL6" s="19"/>
      <c r="AM6" s="21"/>
      <c r="AN6" s="151"/>
      <c r="AO6" s="20"/>
      <c r="AP6" s="23">
        <v>1.5</v>
      </c>
      <c r="AQ6" s="19"/>
      <c r="AR6" s="19"/>
      <c r="AS6" s="23">
        <v>1.3</v>
      </c>
      <c r="AT6" s="23">
        <v>1.45</v>
      </c>
      <c r="AU6" s="19"/>
      <c r="AV6" s="19"/>
      <c r="AW6" s="19"/>
      <c r="AX6" s="21"/>
      <c r="AY6" s="20"/>
      <c r="AZ6" s="20"/>
    </row>
    <row r="7" spans="1:52" ht="13.5" customHeight="1" x14ac:dyDescent="0.2">
      <c r="A7" s="17"/>
      <c r="B7" s="18"/>
      <c r="C7" s="152" t="s">
        <v>5</v>
      </c>
      <c r="D7" s="153" t="s">
        <v>6</v>
      </c>
      <c r="E7" s="154" t="s">
        <v>6</v>
      </c>
      <c r="F7" s="153" t="s">
        <v>6</v>
      </c>
      <c r="G7" s="154" t="s">
        <v>6</v>
      </c>
      <c r="H7" s="154" t="s">
        <v>6</v>
      </c>
      <c r="I7" s="154" t="s">
        <v>6</v>
      </c>
      <c r="J7" s="154" t="s">
        <v>6</v>
      </c>
      <c r="K7" s="154" t="s">
        <v>6</v>
      </c>
      <c r="L7" s="154" t="s">
        <v>6</v>
      </c>
      <c r="M7" s="154" t="s">
        <v>6</v>
      </c>
      <c r="N7" s="154" t="s">
        <v>6</v>
      </c>
      <c r="O7" s="154" t="s">
        <v>6</v>
      </c>
      <c r="P7" s="154" t="s">
        <v>6</v>
      </c>
      <c r="Q7" s="154" t="s">
        <v>6</v>
      </c>
      <c r="R7" s="154" t="s">
        <v>6</v>
      </c>
      <c r="S7" s="154" t="s">
        <v>6</v>
      </c>
      <c r="T7" s="154" t="s">
        <v>6</v>
      </c>
      <c r="U7" s="154" t="s">
        <v>6</v>
      </c>
      <c r="V7" s="154" t="s">
        <v>6</v>
      </c>
      <c r="W7" s="154" t="s">
        <v>6</v>
      </c>
      <c r="X7" s="154" t="s">
        <v>6</v>
      </c>
      <c r="Y7" s="154" t="s">
        <v>6</v>
      </c>
      <c r="Z7" s="154" t="s">
        <v>6</v>
      </c>
      <c r="AA7" s="154" t="s">
        <v>6</v>
      </c>
      <c r="AB7" s="154" t="s">
        <v>6</v>
      </c>
      <c r="AC7" s="154" t="s">
        <v>6</v>
      </c>
      <c r="AD7" s="154" t="s">
        <v>6</v>
      </c>
      <c r="AE7" s="154" t="s">
        <v>6</v>
      </c>
      <c r="AF7" s="154" t="s">
        <v>6</v>
      </c>
      <c r="AG7" s="154" t="s">
        <v>6</v>
      </c>
      <c r="AH7" s="154" t="s">
        <v>6</v>
      </c>
      <c r="AI7" s="154" t="s">
        <v>6</v>
      </c>
      <c r="AJ7" s="154" t="s">
        <v>6</v>
      </c>
      <c r="AK7" s="154" t="s">
        <v>6</v>
      </c>
      <c r="AL7" s="154" t="s">
        <v>6</v>
      </c>
      <c r="AM7" s="154" t="s">
        <v>6</v>
      </c>
      <c r="AN7" s="155" t="s">
        <v>6</v>
      </c>
      <c r="AO7" s="154" t="s">
        <v>6</v>
      </c>
      <c r="AP7" s="154" t="s">
        <v>6</v>
      </c>
      <c r="AQ7" s="153" t="s">
        <v>6</v>
      </c>
      <c r="AR7" s="154" t="s">
        <v>6</v>
      </c>
      <c r="AS7" s="154" t="s">
        <v>6</v>
      </c>
      <c r="AT7" s="154" t="s">
        <v>6</v>
      </c>
      <c r="AU7" s="153" t="s">
        <v>6</v>
      </c>
      <c r="AV7" s="154" t="s">
        <v>6</v>
      </c>
      <c r="AW7" s="153" t="s">
        <v>6</v>
      </c>
      <c r="AX7" s="154" t="s">
        <v>6</v>
      </c>
      <c r="AY7" s="154" t="s">
        <v>6</v>
      </c>
      <c r="AZ7" s="154" t="s">
        <v>6</v>
      </c>
    </row>
    <row r="8" spans="1:52" x14ac:dyDescent="0.2">
      <c r="A8" s="24"/>
      <c r="B8" s="25" t="s">
        <v>3</v>
      </c>
      <c r="C8" s="26"/>
      <c r="D8" s="27"/>
      <c r="E8" s="28"/>
      <c r="F8" s="27"/>
      <c r="G8" s="28"/>
      <c r="H8" s="27"/>
      <c r="I8" s="28"/>
      <c r="J8" s="28"/>
      <c r="K8" s="28"/>
      <c r="L8" s="28"/>
      <c r="M8" s="28"/>
      <c r="N8" s="28"/>
      <c r="O8" s="30"/>
      <c r="P8" s="31"/>
      <c r="Q8" s="27"/>
      <c r="R8" s="28"/>
      <c r="S8" s="30"/>
      <c r="T8" s="31"/>
      <c r="U8" s="27"/>
      <c r="V8" s="28"/>
      <c r="W8" s="29"/>
      <c r="X8" s="28"/>
      <c r="Y8" s="31"/>
      <c r="Z8" s="31"/>
      <c r="AA8" s="31"/>
      <c r="AB8" s="31"/>
      <c r="AC8" s="31"/>
      <c r="AD8" s="31"/>
      <c r="AE8" s="29"/>
      <c r="AF8" s="28"/>
      <c r="AG8" s="27"/>
      <c r="AH8" s="27"/>
      <c r="AI8" s="32"/>
      <c r="AJ8" s="27"/>
      <c r="AK8" s="27"/>
      <c r="AL8" s="27"/>
      <c r="AM8" s="27"/>
      <c r="AN8" s="29"/>
      <c r="AO8" s="28"/>
      <c r="AP8" s="27"/>
      <c r="AQ8" s="29"/>
      <c r="AR8" s="28"/>
      <c r="AS8" s="27"/>
      <c r="AT8" s="27"/>
      <c r="AU8" s="29"/>
      <c r="AV8" s="28"/>
      <c r="AW8" s="29"/>
      <c r="AX8" s="28"/>
      <c r="AY8" s="28"/>
      <c r="AZ8" s="28"/>
    </row>
    <row r="9" spans="1:52" x14ac:dyDescent="0.2">
      <c r="A9" s="33"/>
      <c r="B9" s="34"/>
      <c r="C9" s="35"/>
      <c r="D9" s="36"/>
      <c r="E9" s="37"/>
      <c r="F9" s="36"/>
      <c r="G9" s="37"/>
      <c r="H9" s="36"/>
      <c r="I9" s="37"/>
      <c r="J9" s="114"/>
      <c r="K9" s="114"/>
      <c r="L9" s="114"/>
      <c r="M9" s="114"/>
      <c r="N9" s="114"/>
      <c r="O9" s="41"/>
      <c r="P9" s="41"/>
      <c r="Q9" s="36"/>
      <c r="R9" s="37"/>
      <c r="S9" s="41"/>
      <c r="T9" s="41"/>
      <c r="U9" s="36"/>
      <c r="V9" s="37"/>
      <c r="W9" s="38"/>
      <c r="X9" s="39"/>
      <c r="Y9" s="41"/>
      <c r="Z9" s="41"/>
      <c r="AA9" s="41"/>
      <c r="AB9" s="41"/>
      <c r="AC9" s="41"/>
      <c r="AD9" s="41"/>
      <c r="AE9" s="40"/>
      <c r="AF9" s="36"/>
      <c r="AG9" s="42"/>
      <c r="AH9" s="42"/>
      <c r="AI9" s="42"/>
      <c r="AJ9" s="38"/>
      <c r="AK9" s="37"/>
      <c r="AL9" s="38"/>
      <c r="AM9" s="37"/>
      <c r="AN9" s="40"/>
      <c r="AO9" s="36"/>
      <c r="AP9" s="42"/>
      <c r="AQ9" s="40"/>
      <c r="AR9" s="36"/>
      <c r="AS9" s="42"/>
      <c r="AT9" s="42"/>
      <c r="AU9" s="40"/>
      <c r="AV9" s="36"/>
      <c r="AW9" s="40"/>
      <c r="AX9" s="36"/>
      <c r="AY9" s="38"/>
      <c r="AZ9" s="37"/>
    </row>
    <row r="10" spans="1:52" x14ac:dyDescent="0.2">
      <c r="A10" s="43"/>
      <c r="B10" s="44" t="s">
        <v>32</v>
      </c>
      <c r="C10" s="45"/>
      <c r="D10" s="46"/>
      <c r="E10" s="47"/>
      <c r="F10" s="48"/>
      <c r="G10" s="47"/>
      <c r="H10" s="48"/>
      <c r="I10" s="47"/>
      <c r="J10" s="115"/>
      <c r="K10" s="115"/>
      <c r="L10" s="115"/>
      <c r="M10" s="115"/>
      <c r="N10" s="115"/>
      <c r="O10" s="51"/>
      <c r="P10" s="51"/>
      <c r="Q10" s="48"/>
      <c r="R10" s="47"/>
      <c r="S10" s="51"/>
      <c r="T10" s="51"/>
      <c r="U10" s="48"/>
      <c r="V10" s="47"/>
      <c r="W10" s="48"/>
      <c r="X10" s="47"/>
      <c r="Y10" s="51"/>
      <c r="Z10" s="51"/>
      <c r="AA10" s="51"/>
      <c r="AB10" s="51"/>
      <c r="AC10" s="51"/>
      <c r="AD10" s="51"/>
      <c r="AE10" s="49"/>
      <c r="AF10" s="47"/>
      <c r="AG10" s="52"/>
      <c r="AH10" s="52"/>
      <c r="AI10" s="52"/>
      <c r="AJ10" s="50"/>
      <c r="AK10" s="47"/>
      <c r="AL10" s="50"/>
      <c r="AM10" s="47"/>
      <c r="AN10" s="49"/>
      <c r="AO10" s="47"/>
      <c r="AP10" s="52"/>
      <c r="AQ10" s="49"/>
      <c r="AR10" s="47"/>
      <c r="AS10" s="52"/>
      <c r="AT10" s="52"/>
      <c r="AU10" s="49"/>
      <c r="AV10" s="47"/>
      <c r="AW10" s="49"/>
      <c r="AX10" s="47"/>
      <c r="AY10" s="50"/>
      <c r="AZ10" s="47"/>
    </row>
    <row r="11" spans="1:52" x14ac:dyDescent="0.2">
      <c r="A11" s="53" t="s">
        <v>7</v>
      </c>
      <c r="B11" s="54" t="s">
        <v>8</v>
      </c>
      <c r="C11" s="55">
        <v>15</v>
      </c>
      <c r="D11" s="48">
        <f t="shared" ref="D11:D27" si="0">ROUND(E11*C11,1)</f>
        <v>842.3</v>
      </c>
      <c r="E11" s="47">
        <f>RCF!C$43</f>
        <v>56.150171999999998</v>
      </c>
      <c r="F11" s="117">
        <v>358.3</v>
      </c>
      <c r="G11" s="47">
        <f>F11/C11</f>
        <v>23.886666666666667</v>
      </c>
      <c r="H11" s="117">
        <f>ROUNDDOWN(F11*1.039,1)</f>
        <v>372.2</v>
      </c>
      <c r="I11" s="47">
        <f t="shared" ref="I11:I27" si="1">H11/C11</f>
        <v>24.813333333333333</v>
      </c>
      <c r="J11" s="52">
        <f t="shared" ref="J11:P27" si="2">ROUND($C11*$I11*J$6,1)</f>
        <v>409.4</v>
      </c>
      <c r="K11" s="52">
        <f t="shared" si="2"/>
        <v>509.9</v>
      </c>
      <c r="L11" s="52">
        <f t="shared" si="2"/>
        <v>547.1</v>
      </c>
      <c r="M11" s="52">
        <f t="shared" si="2"/>
        <v>603</v>
      </c>
      <c r="N11" s="52">
        <f t="shared" si="2"/>
        <v>744.4</v>
      </c>
      <c r="O11" s="52">
        <f t="shared" si="2"/>
        <v>800.2</v>
      </c>
      <c r="P11" s="52">
        <f t="shared" si="2"/>
        <v>1116.5999999999999</v>
      </c>
      <c r="Q11" s="117">
        <v>364</v>
      </c>
      <c r="R11" s="47">
        <f>Q11/C11</f>
        <v>24.266666666666666</v>
      </c>
      <c r="S11" s="52">
        <f>ROUNDDOWN($Q11*S$6,1)</f>
        <v>473.2</v>
      </c>
      <c r="T11" s="52">
        <f>ROUNDDOWN($Q11*T$6,1)</f>
        <v>546</v>
      </c>
      <c r="U11" s="117">
        <v>241.6</v>
      </c>
      <c r="V11" s="47">
        <f>U11/C11</f>
        <v>16.106666666666666</v>
      </c>
      <c r="W11" s="117">
        <v>257.39999999999998</v>
      </c>
      <c r="X11" s="47">
        <f t="shared" ref="X11:X27" si="3">W11/C11</f>
        <v>17.16</v>
      </c>
      <c r="Y11" s="52">
        <f>ROUNDDOWN($W11*Y$6,1)</f>
        <v>283.10000000000002</v>
      </c>
      <c r="Z11" s="52">
        <f t="shared" ref="Z11:AD26" si="4">ROUND($C11*$X11*Z$6,1)</f>
        <v>352.6</v>
      </c>
      <c r="AA11" s="52">
        <f t="shared" si="4"/>
        <v>417</v>
      </c>
      <c r="AB11" s="52">
        <f t="shared" si="4"/>
        <v>378.4</v>
      </c>
      <c r="AC11" s="52">
        <f t="shared" si="4"/>
        <v>558.6</v>
      </c>
      <c r="AD11" s="52">
        <f t="shared" si="4"/>
        <v>772.2</v>
      </c>
      <c r="AE11" s="48">
        <v>363.6</v>
      </c>
      <c r="AF11" s="116">
        <f>AE11/C11</f>
        <v>24.240000000000002</v>
      </c>
      <c r="AG11" s="52">
        <f t="shared" ref="AG11:AI27" si="5">ROUND($AE11*AG$6,1)</f>
        <v>599.9</v>
      </c>
      <c r="AH11" s="52">
        <f t="shared" si="5"/>
        <v>763.6</v>
      </c>
      <c r="AI11" s="52">
        <f t="shared" si="5"/>
        <v>1090.8</v>
      </c>
      <c r="AJ11" s="117">
        <v>361.3</v>
      </c>
      <c r="AK11" s="47">
        <f>AJ11/C11</f>
        <v>24.086666666666666</v>
      </c>
      <c r="AL11" s="117">
        <v>481.4</v>
      </c>
      <c r="AM11" s="47">
        <f>AL11/$C11</f>
        <v>32.093333333333334</v>
      </c>
      <c r="AN11" s="157">
        <f>ROUNDDOWN(C11*AO11,1)</f>
        <v>383.3</v>
      </c>
      <c r="AO11" s="171">
        <f>RCF!I$33</f>
        <v>25.559000000000001</v>
      </c>
      <c r="AP11" s="52">
        <f>ROUNDDOWN($AN11*AP$6,1)</f>
        <v>574.9</v>
      </c>
      <c r="AQ11" s="48">
        <v>378.8</v>
      </c>
      <c r="AR11" s="116">
        <f>AQ11/C11</f>
        <v>25.253333333333334</v>
      </c>
      <c r="AS11" s="52">
        <f>ROUNDDOWN($AQ11*AS$6,1)</f>
        <v>492.4</v>
      </c>
      <c r="AT11" s="52">
        <f>ROUNDDOWN($AQ11*AT$6,1)</f>
        <v>549.20000000000005</v>
      </c>
      <c r="AU11" s="48">
        <v>404</v>
      </c>
      <c r="AV11" s="116">
        <f>AU11/C11</f>
        <v>26.933333333333334</v>
      </c>
      <c r="AW11" s="48">
        <v>381.5</v>
      </c>
      <c r="AX11" s="116">
        <f>AW11/C11</f>
        <v>25.433333333333334</v>
      </c>
      <c r="AY11" s="157">
        <f>ROUNDDOWN($AZ11*$C11,1)</f>
        <v>371</v>
      </c>
      <c r="AZ11" s="116">
        <f>RCF!I$41</f>
        <v>24.738</v>
      </c>
    </row>
    <row r="12" spans="1:52" x14ac:dyDescent="0.2">
      <c r="A12" s="53" t="s">
        <v>9</v>
      </c>
      <c r="B12" s="54" t="s">
        <v>10</v>
      </c>
      <c r="C12" s="55">
        <v>15</v>
      </c>
      <c r="D12" s="48">
        <f t="shared" si="0"/>
        <v>842.3</v>
      </c>
      <c r="E12" s="47">
        <f>RCF!C$43</f>
        <v>56.150171999999998</v>
      </c>
      <c r="F12" s="117">
        <v>358.3</v>
      </c>
      <c r="G12" s="47">
        <f t="shared" ref="G12:G27" si="6">F12/C12</f>
        <v>23.886666666666667</v>
      </c>
      <c r="H12" s="117">
        <f t="shared" ref="H12:H27" si="7">ROUNDDOWN(F12*1.039,1)</f>
        <v>372.2</v>
      </c>
      <c r="I12" s="47">
        <f t="shared" si="1"/>
        <v>24.813333333333333</v>
      </c>
      <c r="J12" s="52">
        <f t="shared" si="2"/>
        <v>409.4</v>
      </c>
      <c r="K12" s="52">
        <f t="shared" si="2"/>
        <v>509.9</v>
      </c>
      <c r="L12" s="52">
        <f t="shared" si="2"/>
        <v>547.1</v>
      </c>
      <c r="M12" s="52">
        <f t="shared" si="2"/>
        <v>603</v>
      </c>
      <c r="N12" s="52">
        <f t="shared" si="2"/>
        <v>744.4</v>
      </c>
      <c r="O12" s="52">
        <f t="shared" si="2"/>
        <v>800.2</v>
      </c>
      <c r="P12" s="52">
        <f t="shared" si="2"/>
        <v>1116.5999999999999</v>
      </c>
      <c r="Q12" s="117">
        <v>364</v>
      </c>
      <c r="R12" s="47">
        <f t="shared" ref="R12:R27" si="8">Q12/C12</f>
        <v>24.266666666666666</v>
      </c>
      <c r="S12" s="52">
        <f t="shared" ref="S12:T27" si="9">ROUNDDOWN($Q12*S$6,1)</f>
        <v>473.2</v>
      </c>
      <c r="T12" s="52">
        <f t="shared" si="9"/>
        <v>546</v>
      </c>
      <c r="U12" s="117">
        <v>337.1</v>
      </c>
      <c r="V12" s="47">
        <f t="shared" ref="V12:V27" si="10">U12/C12</f>
        <v>22.473333333333336</v>
      </c>
      <c r="W12" s="117">
        <v>359</v>
      </c>
      <c r="X12" s="47">
        <f t="shared" si="3"/>
        <v>23.933333333333334</v>
      </c>
      <c r="Y12" s="52">
        <f t="shared" ref="Y12:Y26" si="11">ROUNDDOWN($W12*Y$6,1)</f>
        <v>394.9</v>
      </c>
      <c r="Z12" s="52">
        <f t="shared" si="4"/>
        <v>491.8</v>
      </c>
      <c r="AA12" s="52">
        <f t="shared" si="4"/>
        <v>581.6</v>
      </c>
      <c r="AB12" s="52">
        <f t="shared" si="4"/>
        <v>527.70000000000005</v>
      </c>
      <c r="AC12" s="52">
        <f t="shared" si="4"/>
        <v>779</v>
      </c>
      <c r="AD12" s="52">
        <f t="shared" si="4"/>
        <v>1077</v>
      </c>
      <c r="AE12" s="48">
        <v>363.6</v>
      </c>
      <c r="AF12" s="116">
        <f t="shared" ref="AF12:AF27" si="12">AE12/C12</f>
        <v>24.240000000000002</v>
      </c>
      <c r="AG12" s="52">
        <f t="shared" si="5"/>
        <v>599.9</v>
      </c>
      <c r="AH12" s="52">
        <f t="shared" si="5"/>
        <v>763.6</v>
      </c>
      <c r="AI12" s="52">
        <f t="shared" si="5"/>
        <v>1090.8</v>
      </c>
      <c r="AJ12" s="117">
        <v>353.8</v>
      </c>
      <c r="AK12" s="47">
        <f t="shared" ref="AK12:AK27" si="13">AJ12/C12</f>
        <v>23.586666666666666</v>
      </c>
      <c r="AL12" s="117">
        <v>481.4</v>
      </c>
      <c r="AM12" s="47">
        <f t="shared" ref="AM12:AM27" si="14">AL12/$C12</f>
        <v>32.093333333333334</v>
      </c>
      <c r="AN12" s="157">
        <f t="shared" ref="AN12:AN27" si="15">ROUNDDOWN(C12*AO12,1)</f>
        <v>383.3</v>
      </c>
      <c r="AO12" s="171">
        <f>RCF!I$33</f>
        <v>25.559000000000001</v>
      </c>
      <c r="AP12" s="52">
        <f t="shared" ref="AP12:AP27" si="16">ROUNDDOWN($AN12*AP$6,1)</f>
        <v>574.9</v>
      </c>
      <c r="AQ12" s="48">
        <v>378.8</v>
      </c>
      <c r="AR12" s="116">
        <f t="shared" ref="AR12:AR27" si="17">AQ12/C12</f>
        <v>25.253333333333334</v>
      </c>
      <c r="AS12" s="52">
        <f t="shared" ref="AS12:AT27" si="18">ROUNDDOWN($AQ12*AS$6,1)</f>
        <v>492.4</v>
      </c>
      <c r="AT12" s="52">
        <f t="shared" si="18"/>
        <v>549.20000000000005</v>
      </c>
      <c r="AU12" s="48">
        <v>404</v>
      </c>
      <c r="AV12" s="116">
        <f t="shared" ref="AV12:AV27" si="19">AU12/C12</f>
        <v>26.933333333333334</v>
      </c>
      <c r="AW12" s="48">
        <v>381.5</v>
      </c>
      <c r="AX12" s="116">
        <f t="shared" ref="AX12:AX27" si="20">AW12/C12</f>
        <v>25.433333333333334</v>
      </c>
      <c r="AY12" s="157">
        <f t="shared" ref="AY12:AY19" si="21">ROUNDDOWN($AZ12*$C12,1)</f>
        <v>371</v>
      </c>
      <c r="AZ12" s="116">
        <f>RCF!I$41</f>
        <v>24.738</v>
      </c>
    </row>
    <row r="13" spans="1:52" x14ac:dyDescent="0.2">
      <c r="A13" s="56" t="s">
        <v>11</v>
      </c>
      <c r="B13" s="54" t="s">
        <v>12</v>
      </c>
      <c r="C13" s="55">
        <v>12</v>
      </c>
      <c r="D13" s="48">
        <f t="shared" si="0"/>
        <v>673.8</v>
      </c>
      <c r="E13" s="47">
        <f>RCF!C$43</f>
        <v>56.150171999999998</v>
      </c>
      <c r="F13" s="117">
        <v>310.60000000000002</v>
      </c>
      <c r="G13" s="47">
        <f t="shared" si="6"/>
        <v>25.883333333333336</v>
      </c>
      <c r="H13" s="117">
        <f t="shared" si="7"/>
        <v>322.7</v>
      </c>
      <c r="I13" s="47">
        <f t="shared" si="1"/>
        <v>26.891666666666666</v>
      </c>
      <c r="J13" s="52">
        <f t="shared" si="2"/>
        <v>355</v>
      </c>
      <c r="K13" s="52">
        <f t="shared" si="2"/>
        <v>442.1</v>
      </c>
      <c r="L13" s="52">
        <f t="shared" si="2"/>
        <v>474.4</v>
      </c>
      <c r="M13" s="52">
        <f t="shared" si="2"/>
        <v>522.79999999999995</v>
      </c>
      <c r="N13" s="52">
        <f t="shared" si="2"/>
        <v>645.4</v>
      </c>
      <c r="O13" s="52">
        <f t="shared" si="2"/>
        <v>693.8</v>
      </c>
      <c r="P13" s="52">
        <f t="shared" si="2"/>
        <v>968.1</v>
      </c>
      <c r="Q13" s="117">
        <v>436.7</v>
      </c>
      <c r="R13" s="47">
        <f t="shared" si="8"/>
        <v>36.391666666666666</v>
      </c>
      <c r="S13" s="52">
        <f t="shared" si="9"/>
        <v>567.70000000000005</v>
      </c>
      <c r="T13" s="52">
        <f t="shared" si="9"/>
        <v>655</v>
      </c>
      <c r="U13" s="117">
        <v>404.9</v>
      </c>
      <c r="V13" s="47">
        <f t="shared" si="10"/>
        <v>33.741666666666667</v>
      </c>
      <c r="W13" s="117">
        <v>431.3</v>
      </c>
      <c r="X13" s="47">
        <f t="shared" si="3"/>
        <v>35.94166666666667</v>
      </c>
      <c r="Y13" s="52">
        <f t="shared" si="11"/>
        <v>474.4</v>
      </c>
      <c r="Z13" s="52">
        <f t="shared" si="4"/>
        <v>590.9</v>
      </c>
      <c r="AA13" s="52">
        <f t="shared" si="4"/>
        <v>698.7</v>
      </c>
      <c r="AB13" s="52">
        <f t="shared" si="4"/>
        <v>634</v>
      </c>
      <c r="AC13" s="52">
        <f t="shared" si="4"/>
        <v>935.9</v>
      </c>
      <c r="AD13" s="52">
        <f t="shared" si="4"/>
        <v>1293.9000000000001</v>
      </c>
      <c r="AE13" s="48">
        <v>436.3</v>
      </c>
      <c r="AF13" s="116">
        <f t="shared" si="12"/>
        <v>36.358333333333334</v>
      </c>
      <c r="AG13" s="52">
        <f t="shared" si="5"/>
        <v>719.9</v>
      </c>
      <c r="AH13" s="52">
        <f t="shared" si="5"/>
        <v>916.2</v>
      </c>
      <c r="AI13" s="52">
        <f t="shared" si="5"/>
        <v>1308.9000000000001</v>
      </c>
      <c r="AJ13" s="117">
        <v>422.8</v>
      </c>
      <c r="AK13" s="47">
        <f t="shared" si="13"/>
        <v>35.233333333333334</v>
      </c>
      <c r="AL13" s="117">
        <v>563.5</v>
      </c>
      <c r="AM13" s="47">
        <f t="shared" si="14"/>
        <v>46.958333333333336</v>
      </c>
      <c r="AN13" s="157">
        <f t="shared" si="15"/>
        <v>306.7</v>
      </c>
      <c r="AO13" s="171">
        <f>RCF!I$33</f>
        <v>25.559000000000001</v>
      </c>
      <c r="AP13" s="52">
        <f t="shared" si="16"/>
        <v>460</v>
      </c>
      <c r="AQ13" s="48">
        <v>455</v>
      </c>
      <c r="AR13" s="116">
        <f t="shared" si="17"/>
        <v>37.916666666666664</v>
      </c>
      <c r="AS13" s="52">
        <f t="shared" si="18"/>
        <v>591.5</v>
      </c>
      <c r="AT13" s="52">
        <f t="shared" si="18"/>
        <v>659.7</v>
      </c>
      <c r="AU13" s="48">
        <v>484.7</v>
      </c>
      <c r="AV13" s="116">
        <f t="shared" si="19"/>
        <v>40.391666666666666</v>
      </c>
      <c r="AW13" s="48">
        <v>461.4</v>
      </c>
      <c r="AX13" s="116">
        <f t="shared" si="20"/>
        <v>38.449999999999996</v>
      </c>
      <c r="AY13" s="157">
        <f t="shared" si="21"/>
        <v>296.8</v>
      </c>
      <c r="AZ13" s="116">
        <f>RCF!I$41</f>
        <v>24.738</v>
      </c>
    </row>
    <row r="14" spans="1:52" x14ac:dyDescent="0.2">
      <c r="A14" s="53" t="s">
        <v>13</v>
      </c>
      <c r="B14" s="54" t="s">
        <v>14</v>
      </c>
      <c r="C14" s="55">
        <v>5</v>
      </c>
      <c r="D14" s="48">
        <f t="shared" si="0"/>
        <v>280.8</v>
      </c>
      <c r="E14" s="47">
        <f>RCF!C$43</f>
        <v>56.150171999999998</v>
      </c>
      <c r="F14" s="117">
        <v>119.6</v>
      </c>
      <c r="G14" s="47">
        <f t="shared" si="6"/>
        <v>23.919999999999998</v>
      </c>
      <c r="H14" s="117">
        <f t="shared" si="7"/>
        <v>124.2</v>
      </c>
      <c r="I14" s="47">
        <f t="shared" si="1"/>
        <v>24.84</v>
      </c>
      <c r="J14" s="52">
        <f t="shared" si="2"/>
        <v>136.6</v>
      </c>
      <c r="K14" s="52">
        <f t="shared" si="2"/>
        <v>170.2</v>
      </c>
      <c r="L14" s="52">
        <f t="shared" si="2"/>
        <v>182.6</v>
      </c>
      <c r="M14" s="52">
        <f t="shared" si="2"/>
        <v>201.2</v>
      </c>
      <c r="N14" s="52">
        <f t="shared" si="2"/>
        <v>248.4</v>
      </c>
      <c r="O14" s="52">
        <f t="shared" si="2"/>
        <v>267</v>
      </c>
      <c r="P14" s="52">
        <f t="shared" si="2"/>
        <v>372.6</v>
      </c>
      <c r="Q14" s="117">
        <v>121.7</v>
      </c>
      <c r="R14" s="47">
        <f t="shared" si="8"/>
        <v>24.34</v>
      </c>
      <c r="S14" s="52">
        <f t="shared" si="9"/>
        <v>158.19999999999999</v>
      </c>
      <c r="T14" s="52">
        <f t="shared" si="9"/>
        <v>182.5</v>
      </c>
      <c r="U14" s="117">
        <v>112.3</v>
      </c>
      <c r="V14" s="47">
        <f t="shared" si="10"/>
        <v>22.46</v>
      </c>
      <c r="W14" s="117">
        <v>119.5</v>
      </c>
      <c r="X14" s="47">
        <f t="shared" si="3"/>
        <v>23.9</v>
      </c>
      <c r="Y14" s="52">
        <f t="shared" si="11"/>
        <v>131.4</v>
      </c>
      <c r="Z14" s="52">
        <f t="shared" si="4"/>
        <v>163.69999999999999</v>
      </c>
      <c r="AA14" s="52">
        <f t="shared" si="4"/>
        <v>193.6</v>
      </c>
      <c r="AB14" s="52">
        <f t="shared" si="4"/>
        <v>175.7</v>
      </c>
      <c r="AC14" s="52">
        <f t="shared" si="4"/>
        <v>259.3</v>
      </c>
      <c r="AD14" s="52">
        <f t="shared" si="4"/>
        <v>358.5</v>
      </c>
      <c r="AE14" s="48">
        <v>121.6</v>
      </c>
      <c r="AF14" s="116">
        <f t="shared" si="12"/>
        <v>24.32</v>
      </c>
      <c r="AG14" s="52">
        <f t="shared" si="5"/>
        <v>200.6</v>
      </c>
      <c r="AH14" s="52">
        <f t="shared" si="5"/>
        <v>255.4</v>
      </c>
      <c r="AI14" s="52">
        <f t="shared" si="5"/>
        <v>364.8</v>
      </c>
      <c r="AJ14" s="117">
        <v>120.4</v>
      </c>
      <c r="AK14" s="47">
        <f t="shared" si="13"/>
        <v>24.080000000000002</v>
      </c>
      <c r="AL14" s="117">
        <v>160.69999999999999</v>
      </c>
      <c r="AM14" s="47">
        <f t="shared" si="14"/>
        <v>32.14</v>
      </c>
      <c r="AN14" s="157">
        <f t="shared" si="15"/>
        <v>127.7</v>
      </c>
      <c r="AO14" s="171">
        <f>RCF!I$33</f>
        <v>25.559000000000001</v>
      </c>
      <c r="AP14" s="52">
        <f t="shared" si="16"/>
        <v>191.5</v>
      </c>
      <c r="AQ14" s="48">
        <v>126.2</v>
      </c>
      <c r="AR14" s="116">
        <f t="shared" si="17"/>
        <v>25.240000000000002</v>
      </c>
      <c r="AS14" s="52">
        <f t="shared" si="18"/>
        <v>164</v>
      </c>
      <c r="AT14" s="52">
        <f t="shared" si="18"/>
        <v>182.9</v>
      </c>
      <c r="AU14" s="48">
        <v>134.6</v>
      </c>
      <c r="AV14" s="116">
        <f t="shared" si="19"/>
        <v>26.919999999999998</v>
      </c>
      <c r="AW14" s="48">
        <v>128.19999999999999</v>
      </c>
      <c r="AX14" s="116">
        <f t="shared" si="20"/>
        <v>25.639999999999997</v>
      </c>
      <c r="AY14" s="157">
        <f t="shared" si="21"/>
        <v>123.6</v>
      </c>
      <c r="AZ14" s="116">
        <f>RCF!I$41</f>
        <v>24.738</v>
      </c>
    </row>
    <row r="15" spans="1:52" x14ac:dyDescent="0.2">
      <c r="A15" s="53" t="s">
        <v>15</v>
      </c>
      <c r="B15" s="54" t="s">
        <v>16</v>
      </c>
      <c r="C15" s="55">
        <v>9</v>
      </c>
      <c r="D15" s="48">
        <f t="shared" si="0"/>
        <v>505.4</v>
      </c>
      <c r="E15" s="47">
        <f>RCF!C$43</f>
        <v>56.150171999999998</v>
      </c>
      <c r="F15" s="117">
        <v>214.9</v>
      </c>
      <c r="G15" s="47">
        <f t="shared" si="6"/>
        <v>23.87777777777778</v>
      </c>
      <c r="H15" s="117">
        <f t="shared" si="7"/>
        <v>223.2</v>
      </c>
      <c r="I15" s="47">
        <f t="shared" si="1"/>
        <v>24.799999999999997</v>
      </c>
      <c r="J15" s="52">
        <f t="shared" si="2"/>
        <v>245.5</v>
      </c>
      <c r="K15" s="52">
        <f t="shared" si="2"/>
        <v>305.8</v>
      </c>
      <c r="L15" s="52">
        <f t="shared" si="2"/>
        <v>328.1</v>
      </c>
      <c r="M15" s="52">
        <f t="shared" si="2"/>
        <v>361.6</v>
      </c>
      <c r="N15" s="52">
        <f t="shared" si="2"/>
        <v>446.4</v>
      </c>
      <c r="O15" s="52">
        <f t="shared" si="2"/>
        <v>479.9</v>
      </c>
      <c r="P15" s="52">
        <f t="shared" si="2"/>
        <v>669.6</v>
      </c>
      <c r="Q15" s="117">
        <v>218.3</v>
      </c>
      <c r="R15" s="47">
        <f t="shared" si="8"/>
        <v>24.255555555555556</v>
      </c>
      <c r="S15" s="52">
        <f t="shared" si="9"/>
        <v>283.7</v>
      </c>
      <c r="T15" s="52">
        <f t="shared" si="9"/>
        <v>327.39999999999998</v>
      </c>
      <c r="U15" s="117">
        <v>202.1</v>
      </c>
      <c r="V15" s="47">
        <f t="shared" si="10"/>
        <v>22.455555555555556</v>
      </c>
      <c r="W15" s="117">
        <v>215.1</v>
      </c>
      <c r="X15" s="47">
        <f t="shared" si="3"/>
        <v>23.9</v>
      </c>
      <c r="Y15" s="52">
        <f t="shared" si="11"/>
        <v>236.6</v>
      </c>
      <c r="Z15" s="52">
        <f t="shared" si="4"/>
        <v>294.7</v>
      </c>
      <c r="AA15" s="52">
        <f t="shared" si="4"/>
        <v>348.5</v>
      </c>
      <c r="AB15" s="52">
        <f t="shared" si="4"/>
        <v>316.2</v>
      </c>
      <c r="AC15" s="52">
        <f t="shared" si="4"/>
        <v>466.8</v>
      </c>
      <c r="AD15" s="52">
        <f t="shared" si="4"/>
        <v>645.29999999999995</v>
      </c>
      <c r="AE15" s="48">
        <v>218.1</v>
      </c>
      <c r="AF15" s="116">
        <f t="shared" si="12"/>
        <v>24.233333333333334</v>
      </c>
      <c r="AG15" s="52">
        <f t="shared" si="5"/>
        <v>359.9</v>
      </c>
      <c r="AH15" s="52">
        <f t="shared" si="5"/>
        <v>458</v>
      </c>
      <c r="AI15" s="52">
        <f t="shared" si="5"/>
        <v>654.29999999999995</v>
      </c>
      <c r="AJ15" s="117">
        <v>216.8</v>
      </c>
      <c r="AK15" s="47">
        <f t="shared" si="13"/>
        <v>24.088888888888889</v>
      </c>
      <c r="AL15" s="117">
        <v>288.8</v>
      </c>
      <c r="AM15" s="47">
        <f t="shared" si="14"/>
        <v>32.088888888888889</v>
      </c>
      <c r="AN15" s="157">
        <f t="shared" si="15"/>
        <v>230</v>
      </c>
      <c r="AO15" s="171">
        <f>RCF!I$33</f>
        <v>25.559000000000001</v>
      </c>
      <c r="AP15" s="52">
        <f t="shared" si="16"/>
        <v>345</v>
      </c>
      <c r="AQ15" s="48">
        <v>227.5</v>
      </c>
      <c r="AR15" s="116">
        <f t="shared" si="17"/>
        <v>25.277777777777779</v>
      </c>
      <c r="AS15" s="52">
        <f t="shared" si="18"/>
        <v>295.7</v>
      </c>
      <c r="AT15" s="52">
        <f t="shared" si="18"/>
        <v>329.8</v>
      </c>
      <c r="AU15" s="48">
        <v>242.5</v>
      </c>
      <c r="AV15" s="116">
        <f t="shared" si="19"/>
        <v>26.944444444444443</v>
      </c>
      <c r="AW15" s="48">
        <v>230.7</v>
      </c>
      <c r="AX15" s="116">
        <f t="shared" si="20"/>
        <v>25.633333333333333</v>
      </c>
      <c r="AY15" s="157">
        <f t="shared" si="21"/>
        <v>222.6</v>
      </c>
      <c r="AZ15" s="116">
        <f>RCF!I$41</f>
        <v>24.738</v>
      </c>
    </row>
    <row r="16" spans="1:52" x14ac:dyDescent="0.2">
      <c r="A16" s="199" t="s">
        <v>169</v>
      </c>
      <c r="B16" s="200" t="s">
        <v>170</v>
      </c>
      <c r="C16" s="201">
        <v>8</v>
      </c>
      <c r="D16" s="48">
        <f t="shared" ref="D16" si="22">ROUND(E16*C16,1)</f>
        <v>449.2</v>
      </c>
      <c r="E16" s="47">
        <f>RCF!C$43</f>
        <v>56.150171999999998</v>
      </c>
      <c r="F16" s="204">
        <f>F18</f>
        <v>190.9</v>
      </c>
      <c r="G16" s="47">
        <f t="shared" ref="G16" si="23">F16/C16</f>
        <v>23.862500000000001</v>
      </c>
      <c r="H16" s="117">
        <f t="shared" ref="H16" si="24">ROUNDDOWN(F16*1.039,1)</f>
        <v>198.3</v>
      </c>
      <c r="I16" s="47">
        <f t="shared" ref="I16" si="25">H16/C16</f>
        <v>24.787500000000001</v>
      </c>
      <c r="J16" s="52">
        <f t="shared" si="2"/>
        <v>218.1</v>
      </c>
      <c r="K16" s="52">
        <f t="shared" si="2"/>
        <v>271.7</v>
      </c>
      <c r="L16" s="52">
        <f t="shared" si="2"/>
        <v>291.5</v>
      </c>
      <c r="M16" s="52">
        <f t="shared" si="2"/>
        <v>321.2</v>
      </c>
      <c r="N16" s="52">
        <f t="shared" si="2"/>
        <v>396.6</v>
      </c>
      <c r="O16" s="52">
        <f t="shared" si="2"/>
        <v>426.3</v>
      </c>
      <c r="P16" s="52">
        <f t="shared" si="2"/>
        <v>594.9</v>
      </c>
      <c r="Q16" s="204">
        <f t="shared" ref="Q16:Q19" si="26">ROUNDDOWN(C16*R16,1)</f>
        <v>194.1</v>
      </c>
      <c r="R16" s="203">
        <f>R$11</f>
        <v>24.266666666666666</v>
      </c>
      <c r="S16" s="52">
        <f t="shared" si="9"/>
        <v>252.3</v>
      </c>
      <c r="T16" s="52">
        <f t="shared" si="9"/>
        <v>291.10000000000002</v>
      </c>
      <c r="U16" s="117">
        <v>179.9</v>
      </c>
      <c r="V16" s="47">
        <f t="shared" ref="V16" si="27">U16/C16</f>
        <v>22.487500000000001</v>
      </c>
      <c r="W16" s="204">
        <v>143.80000000000001</v>
      </c>
      <c r="X16" s="47">
        <f t="shared" ref="X16" si="28">W16/C16</f>
        <v>17.975000000000001</v>
      </c>
      <c r="Y16" s="52">
        <f t="shared" si="11"/>
        <v>158.1</v>
      </c>
      <c r="Z16" s="52">
        <f t="shared" si="4"/>
        <v>197</v>
      </c>
      <c r="AA16" s="52">
        <f t="shared" si="4"/>
        <v>233</v>
      </c>
      <c r="AB16" s="52">
        <f t="shared" si="4"/>
        <v>211.4</v>
      </c>
      <c r="AC16" s="52">
        <f t="shared" si="4"/>
        <v>312</v>
      </c>
      <c r="AD16" s="52">
        <f t="shared" si="4"/>
        <v>431.4</v>
      </c>
      <c r="AE16" s="48">
        <v>193.6</v>
      </c>
      <c r="AF16" s="116">
        <f t="shared" ref="AF16" si="29">AE16/C16</f>
        <v>24.2</v>
      </c>
      <c r="AG16" s="52">
        <f t="shared" si="5"/>
        <v>319.39999999999998</v>
      </c>
      <c r="AH16" s="52">
        <f t="shared" si="5"/>
        <v>406.6</v>
      </c>
      <c r="AI16" s="52">
        <f t="shared" si="5"/>
        <v>580.79999999999995</v>
      </c>
      <c r="AJ16" s="117">
        <v>651.1</v>
      </c>
      <c r="AK16" s="47">
        <f t="shared" ref="AK16" si="30">AJ16/C16</f>
        <v>81.387500000000003</v>
      </c>
      <c r="AL16" s="117">
        <v>867.9</v>
      </c>
      <c r="AM16" s="47">
        <f t="shared" ref="AM16" si="31">AL16/$C16</f>
        <v>108.4875</v>
      </c>
      <c r="AN16" s="157">
        <f t="shared" ref="AN16" si="32">ROUNDDOWN(C16*AO16,1)</f>
        <v>204.4</v>
      </c>
      <c r="AO16" s="171">
        <f>RCF!I$33</f>
        <v>25.559000000000001</v>
      </c>
      <c r="AP16" s="52">
        <f t="shared" si="16"/>
        <v>306.60000000000002</v>
      </c>
      <c r="AQ16" s="48">
        <v>202</v>
      </c>
      <c r="AR16" s="116">
        <f t="shared" ref="AR16" si="33">AQ16/C16</f>
        <v>25.25</v>
      </c>
      <c r="AS16" s="52">
        <f t="shared" si="18"/>
        <v>262.60000000000002</v>
      </c>
      <c r="AT16" s="52">
        <f t="shared" si="18"/>
        <v>292.89999999999998</v>
      </c>
      <c r="AU16" s="48">
        <v>215.2</v>
      </c>
      <c r="AV16" s="116">
        <f t="shared" ref="AV16" si="34">AU16/C16</f>
        <v>26.9</v>
      </c>
      <c r="AW16" s="48">
        <f>AW18</f>
        <v>205.08</v>
      </c>
      <c r="AX16" s="116">
        <f t="shared" ref="AX16" si="35">AW16/C16</f>
        <v>25.635000000000002</v>
      </c>
      <c r="AY16" s="157">
        <f t="shared" si="21"/>
        <v>197.9</v>
      </c>
      <c r="AZ16" s="116">
        <f>RCF!I$41</f>
        <v>24.738</v>
      </c>
    </row>
    <row r="17" spans="1:52" x14ac:dyDescent="0.2">
      <c r="A17" s="53" t="s">
        <v>17</v>
      </c>
      <c r="B17" s="54" t="s">
        <v>18</v>
      </c>
      <c r="C17" s="55">
        <v>6</v>
      </c>
      <c r="D17" s="48">
        <f t="shared" si="0"/>
        <v>336.9</v>
      </c>
      <c r="E17" s="47">
        <f>RCF!C$43</f>
        <v>56.150171999999998</v>
      </c>
      <c r="F17" s="117">
        <v>143.4</v>
      </c>
      <c r="G17" s="47">
        <f t="shared" si="6"/>
        <v>23.900000000000002</v>
      </c>
      <c r="H17" s="117">
        <f t="shared" si="7"/>
        <v>148.9</v>
      </c>
      <c r="I17" s="47">
        <f t="shared" si="1"/>
        <v>24.816666666666666</v>
      </c>
      <c r="J17" s="52">
        <f t="shared" si="2"/>
        <v>163.80000000000001</v>
      </c>
      <c r="K17" s="52">
        <f t="shared" si="2"/>
        <v>204</v>
      </c>
      <c r="L17" s="52">
        <f t="shared" si="2"/>
        <v>218.9</v>
      </c>
      <c r="M17" s="52">
        <f t="shared" si="2"/>
        <v>241.2</v>
      </c>
      <c r="N17" s="52">
        <f t="shared" si="2"/>
        <v>297.8</v>
      </c>
      <c r="O17" s="52">
        <f t="shared" si="2"/>
        <v>320.10000000000002</v>
      </c>
      <c r="P17" s="52">
        <f t="shared" si="2"/>
        <v>446.7</v>
      </c>
      <c r="Q17" s="156">
        <f t="shared" si="26"/>
        <v>145.6</v>
      </c>
      <c r="R17" s="237">
        <f>R$11</f>
        <v>24.266666666666666</v>
      </c>
      <c r="S17" s="52">
        <f t="shared" si="9"/>
        <v>189.2</v>
      </c>
      <c r="T17" s="52">
        <f t="shared" si="9"/>
        <v>218.4</v>
      </c>
      <c r="U17" s="117">
        <v>134.9</v>
      </c>
      <c r="V17" s="47">
        <f t="shared" si="10"/>
        <v>22.483333333333334</v>
      </c>
      <c r="W17" s="117">
        <v>143.80000000000001</v>
      </c>
      <c r="X17" s="47">
        <f t="shared" si="3"/>
        <v>23.966666666666669</v>
      </c>
      <c r="Y17" s="52">
        <f t="shared" si="11"/>
        <v>158.1</v>
      </c>
      <c r="Z17" s="52">
        <f t="shared" si="4"/>
        <v>197</v>
      </c>
      <c r="AA17" s="52">
        <f t="shared" si="4"/>
        <v>233</v>
      </c>
      <c r="AB17" s="52">
        <f t="shared" si="4"/>
        <v>211.4</v>
      </c>
      <c r="AC17" s="52">
        <f t="shared" si="4"/>
        <v>312</v>
      </c>
      <c r="AD17" s="52">
        <f t="shared" si="4"/>
        <v>431.4</v>
      </c>
      <c r="AE17" s="117">
        <v>145.6</v>
      </c>
      <c r="AF17" s="116">
        <f t="shared" si="12"/>
        <v>24.266666666666666</v>
      </c>
      <c r="AG17" s="52">
        <f t="shared" si="5"/>
        <v>240.2</v>
      </c>
      <c r="AH17" s="52">
        <f t="shared" si="5"/>
        <v>305.8</v>
      </c>
      <c r="AI17" s="52">
        <f t="shared" si="5"/>
        <v>436.8</v>
      </c>
      <c r="AJ17" s="117">
        <v>144.5</v>
      </c>
      <c r="AK17" s="47">
        <f t="shared" si="13"/>
        <v>24.083333333333332</v>
      </c>
      <c r="AL17" s="117">
        <v>192.7</v>
      </c>
      <c r="AM17" s="47">
        <f t="shared" si="14"/>
        <v>32.116666666666667</v>
      </c>
      <c r="AN17" s="157">
        <f t="shared" si="15"/>
        <v>153.30000000000001</v>
      </c>
      <c r="AO17" s="171">
        <f>RCF!I$33</f>
        <v>25.559000000000001</v>
      </c>
      <c r="AP17" s="52">
        <f t="shared" si="16"/>
        <v>229.9</v>
      </c>
      <c r="AQ17" s="156">
        <v>151.5</v>
      </c>
      <c r="AR17" s="116">
        <f t="shared" si="17"/>
        <v>25.25</v>
      </c>
      <c r="AS17" s="52">
        <f t="shared" si="18"/>
        <v>196.9</v>
      </c>
      <c r="AT17" s="52">
        <f t="shared" si="18"/>
        <v>219.6</v>
      </c>
      <c r="AU17" s="48">
        <v>161.69999999999999</v>
      </c>
      <c r="AV17" s="116">
        <f t="shared" si="19"/>
        <v>26.95</v>
      </c>
      <c r="AW17" s="48">
        <v>153.81</v>
      </c>
      <c r="AX17" s="116">
        <f t="shared" si="20"/>
        <v>25.635000000000002</v>
      </c>
      <c r="AY17" s="157">
        <f t="shared" si="21"/>
        <v>148.4</v>
      </c>
      <c r="AZ17" s="116">
        <f>RCF!I$41</f>
        <v>24.738</v>
      </c>
    </row>
    <row r="18" spans="1:52" x14ac:dyDescent="0.2">
      <c r="A18" s="53" t="s">
        <v>19</v>
      </c>
      <c r="B18" s="54" t="s">
        <v>171</v>
      </c>
      <c r="C18" s="55">
        <v>8</v>
      </c>
      <c r="D18" s="48">
        <f t="shared" si="0"/>
        <v>449.2</v>
      </c>
      <c r="E18" s="47">
        <f>RCF!C$43</f>
        <v>56.150171999999998</v>
      </c>
      <c r="F18" s="117">
        <v>190.9</v>
      </c>
      <c r="G18" s="47">
        <f t="shared" si="6"/>
        <v>23.862500000000001</v>
      </c>
      <c r="H18" s="117">
        <f t="shared" si="7"/>
        <v>198.3</v>
      </c>
      <c r="I18" s="47">
        <f t="shared" si="1"/>
        <v>24.787500000000001</v>
      </c>
      <c r="J18" s="52">
        <f t="shared" si="2"/>
        <v>218.1</v>
      </c>
      <c r="K18" s="52">
        <f t="shared" si="2"/>
        <v>271.7</v>
      </c>
      <c r="L18" s="52">
        <f t="shared" si="2"/>
        <v>291.5</v>
      </c>
      <c r="M18" s="52">
        <f t="shared" si="2"/>
        <v>321.2</v>
      </c>
      <c r="N18" s="52">
        <f t="shared" si="2"/>
        <v>396.6</v>
      </c>
      <c r="O18" s="52">
        <f t="shared" si="2"/>
        <v>426.3</v>
      </c>
      <c r="P18" s="52">
        <f t="shared" si="2"/>
        <v>594.9</v>
      </c>
      <c r="Q18" s="156">
        <f t="shared" si="26"/>
        <v>194.1</v>
      </c>
      <c r="R18" s="237">
        <f>R$11</f>
        <v>24.266666666666666</v>
      </c>
      <c r="S18" s="52">
        <f t="shared" si="9"/>
        <v>252.3</v>
      </c>
      <c r="T18" s="52">
        <f t="shared" si="9"/>
        <v>291.10000000000002</v>
      </c>
      <c r="U18" s="117">
        <v>179.9</v>
      </c>
      <c r="V18" s="47">
        <f t="shared" si="10"/>
        <v>22.487500000000001</v>
      </c>
      <c r="W18" s="117">
        <v>191.6</v>
      </c>
      <c r="X18" s="47">
        <f t="shared" si="3"/>
        <v>23.95</v>
      </c>
      <c r="Y18" s="52">
        <f t="shared" si="11"/>
        <v>210.7</v>
      </c>
      <c r="Z18" s="52">
        <f t="shared" si="4"/>
        <v>262.5</v>
      </c>
      <c r="AA18" s="52">
        <f t="shared" si="4"/>
        <v>310.39999999999998</v>
      </c>
      <c r="AB18" s="52">
        <f t="shared" si="4"/>
        <v>281.7</v>
      </c>
      <c r="AC18" s="52">
        <f t="shared" si="4"/>
        <v>415.8</v>
      </c>
      <c r="AD18" s="52">
        <f t="shared" si="4"/>
        <v>574.79999999999995</v>
      </c>
      <c r="AE18" s="117">
        <v>193.6</v>
      </c>
      <c r="AF18" s="116">
        <f t="shared" si="12"/>
        <v>24.2</v>
      </c>
      <c r="AG18" s="52">
        <f t="shared" si="5"/>
        <v>319.39999999999998</v>
      </c>
      <c r="AH18" s="52">
        <f t="shared" si="5"/>
        <v>406.6</v>
      </c>
      <c r="AI18" s="52">
        <f t="shared" si="5"/>
        <v>580.79999999999995</v>
      </c>
      <c r="AJ18" s="117">
        <v>192.9</v>
      </c>
      <c r="AK18" s="47">
        <f t="shared" si="13"/>
        <v>24.112500000000001</v>
      </c>
      <c r="AL18" s="117">
        <v>256.89999999999998</v>
      </c>
      <c r="AM18" s="47">
        <f t="shared" si="14"/>
        <v>32.112499999999997</v>
      </c>
      <c r="AN18" s="157">
        <f t="shared" si="15"/>
        <v>204.4</v>
      </c>
      <c r="AO18" s="171">
        <f>RCF!I$33</f>
        <v>25.559000000000001</v>
      </c>
      <c r="AP18" s="52">
        <f t="shared" si="16"/>
        <v>306.60000000000002</v>
      </c>
      <c r="AQ18" s="156">
        <v>202</v>
      </c>
      <c r="AR18" s="116">
        <f t="shared" si="17"/>
        <v>25.25</v>
      </c>
      <c r="AS18" s="52">
        <f t="shared" si="18"/>
        <v>262.60000000000002</v>
      </c>
      <c r="AT18" s="52">
        <f t="shared" si="18"/>
        <v>292.89999999999998</v>
      </c>
      <c r="AU18" s="48">
        <v>215.2</v>
      </c>
      <c r="AV18" s="116">
        <f t="shared" si="19"/>
        <v>26.9</v>
      </c>
      <c r="AW18" s="48">
        <v>205.08</v>
      </c>
      <c r="AX18" s="116">
        <f t="shared" si="20"/>
        <v>25.635000000000002</v>
      </c>
      <c r="AY18" s="157">
        <f t="shared" si="21"/>
        <v>197.9</v>
      </c>
      <c r="AZ18" s="116">
        <f>RCF!I$41</f>
        <v>24.738</v>
      </c>
    </row>
    <row r="19" spans="1:52" x14ac:dyDescent="0.2">
      <c r="A19" s="53" t="s">
        <v>20</v>
      </c>
      <c r="B19" s="54" t="s">
        <v>172</v>
      </c>
      <c r="C19" s="55">
        <v>14</v>
      </c>
      <c r="D19" s="48">
        <f t="shared" si="0"/>
        <v>786.1</v>
      </c>
      <c r="E19" s="47">
        <f>RCF!C$43</f>
        <v>56.150171999999998</v>
      </c>
      <c r="F19" s="117">
        <v>334.5</v>
      </c>
      <c r="G19" s="47">
        <f t="shared" si="6"/>
        <v>23.892857142857142</v>
      </c>
      <c r="H19" s="117">
        <f t="shared" si="7"/>
        <v>347.5</v>
      </c>
      <c r="I19" s="47">
        <f t="shared" si="1"/>
        <v>24.821428571428573</v>
      </c>
      <c r="J19" s="52">
        <f t="shared" si="2"/>
        <v>382.3</v>
      </c>
      <c r="K19" s="52">
        <f t="shared" si="2"/>
        <v>476.1</v>
      </c>
      <c r="L19" s="52">
        <f t="shared" si="2"/>
        <v>510.8</v>
      </c>
      <c r="M19" s="52">
        <f t="shared" si="2"/>
        <v>563</v>
      </c>
      <c r="N19" s="52">
        <f t="shared" si="2"/>
        <v>695</v>
      </c>
      <c r="O19" s="52">
        <f t="shared" si="2"/>
        <v>747.1</v>
      </c>
      <c r="P19" s="52">
        <f t="shared" si="2"/>
        <v>1042.5</v>
      </c>
      <c r="Q19" s="156">
        <f t="shared" si="26"/>
        <v>339.7</v>
      </c>
      <c r="R19" s="237">
        <f>R$11</f>
        <v>24.266666666666666</v>
      </c>
      <c r="S19" s="52">
        <f t="shared" si="9"/>
        <v>441.6</v>
      </c>
      <c r="T19" s="52">
        <f t="shared" si="9"/>
        <v>509.5</v>
      </c>
      <c r="U19" s="117">
        <v>315.10000000000002</v>
      </c>
      <c r="V19" s="47">
        <f t="shared" si="10"/>
        <v>22.50714285714286</v>
      </c>
      <c r="W19" s="117">
        <v>335.6</v>
      </c>
      <c r="X19" s="47">
        <f t="shared" si="3"/>
        <v>23.971428571428572</v>
      </c>
      <c r="Y19" s="52">
        <f t="shared" si="11"/>
        <v>369.1</v>
      </c>
      <c r="Z19" s="52">
        <f t="shared" si="4"/>
        <v>459.8</v>
      </c>
      <c r="AA19" s="52">
        <f t="shared" si="4"/>
        <v>543.70000000000005</v>
      </c>
      <c r="AB19" s="52">
        <f t="shared" si="4"/>
        <v>493.3</v>
      </c>
      <c r="AC19" s="52">
        <f t="shared" si="4"/>
        <v>728.3</v>
      </c>
      <c r="AD19" s="52">
        <f t="shared" si="4"/>
        <v>1006.8</v>
      </c>
      <c r="AE19" s="117">
        <v>339.6</v>
      </c>
      <c r="AF19" s="116">
        <f t="shared" si="12"/>
        <v>24.25714285714286</v>
      </c>
      <c r="AG19" s="52">
        <f t="shared" si="5"/>
        <v>560.29999999999995</v>
      </c>
      <c r="AH19" s="52">
        <f t="shared" si="5"/>
        <v>713.2</v>
      </c>
      <c r="AI19" s="52">
        <f t="shared" si="5"/>
        <v>1018.8</v>
      </c>
      <c r="AJ19" s="117">
        <v>337.2</v>
      </c>
      <c r="AK19" s="47">
        <f t="shared" si="13"/>
        <v>24.085714285714285</v>
      </c>
      <c r="AL19" s="117">
        <v>449.5</v>
      </c>
      <c r="AM19" s="47">
        <f t="shared" si="14"/>
        <v>32.107142857142854</v>
      </c>
      <c r="AN19" s="157">
        <f t="shared" si="15"/>
        <v>357.8</v>
      </c>
      <c r="AO19" s="171">
        <f>RCF!I$33</f>
        <v>25.559000000000001</v>
      </c>
      <c r="AP19" s="52">
        <f t="shared" si="16"/>
        <v>536.70000000000005</v>
      </c>
      <c r="AQ19" s="156">
        <v>353.5</v>
      </c>
      <c r="AR19" s="116">
        <f t="shared" si="17"/>
        <v>25.25</v>
      </c>
      <c r="AS19" s="52">
        <f t="shared" si="18"/>
        <v>459.5</v>
      </c>
      <c r="AT19" s="52">
        <f t="shared" si="18"/>
        <v>512.5</v>
      </c>
      <c r="AU19" s="48">
        <v>376.8</v>
      </c>
      <c r="AV19" s="116">
        <f t="shared" si="19"/>
        <v>26.914285714285715</v>
      </c>
      <c r="AW19" s="48">
        <v>358.89</v>
      </c>
      <c r="AX19" s="116">
        <f t="shared" si="20"/>
        <v>25.634999999999998</v>
      </c>
      <c r="AY19" s="157">
        <f t="shared" si="21"/>
        <v>346.3</v>
      </c>
      <c r="AZ19" s="116">
        <f>RCF!I$41</f>
        <v>24.738</v>
      </c>
    </row>
    <row r="20" spans="1:52" x14ac:dyDescent="0.2">
      <c r="A20" s="53" t="s">
        <v>21</v>
      </c>
      <c r="B20" s="54" t="s">
        <v>22</v>
      </c>
      <c r="C20" s="55">
        <v>15</v>
      </c>
      <c r="D20" s="48">
        <f t="shared" si="0"/>
        <v>842.3</v>
      </c>
      <c r="E20" s="47">
        <f>RCF!C$43</f>
        <v>56.150171999999998</v>
      </c>
      <c r="F20" s="117">
        <v>621.20000000000005</v>
      </c>
      <c r="G20" s="47">
        <f t="shared" si="6"/>
        <v>41.413333333333334</v>
      </c>
      <c r="H20" s="117">
        <f t="shared" si="7"/>
        <v>645.4</v>
      </c>
      <c r="I20" s="47">
        <f t="shared" si="1"/>
        <v>43.026666666666664</v>
      </c>
      <c r="J20" s="52">
        <f t="shared" si="2"/>
        <v>709.9</v>
      </c>
      <c r="K20" s="52">
        <f t="shared" si="2"/>
        <v>884.2</v>
      </c>
      <c r="L20" s="52">
        <f t="shared" si="2"/>
        <v>948.7</v>
      </c>
      <c r="M20" s="52">
        <f t="shared" si="2"/>
        <v>1045.5</v>
      </c>
      <c r="N20" s="52">
        <f t="shared" si="2"/>
        <v>1290.8</v>
      </c>
      <c r="O20" s="52">
        <f t="shared" si="2"/>
        <v>1387.6</v>
      </c>
      <c r="P20" s="52">
        <f t="shared" si="2"/>
        <v>1936.2</v>
      </c>
      <c r="Q20" s="117">
        <v>630.9</v>
      </c>
      <c r="R20" s="47">
        <f t="shared" si="8"/>
        <v>42.059999999999995</v>
      </c>
      <c r="S20" s="52">
        <f t="shared" si="9"/>
        <v>820.1</v>
      </c>
      <c r="T20" s="52">
        <f t="shared" si="9"/>
        <v>946.3</v>
      </c>
      <c r="U20" s="117">
        <v>586</v>
      </c>
      <c r="V20" s="47">
        <f t="shared" si="10"/>
        <v>39.06666666666667</v>
      </c>
      <c r="W20" s="117">
        <v>624.20000000000005</v>
      </c>
      <c r="X20" s="47">
        <f t="shared" si="3"/>
        <v>41.613333333333337</v>
      </c>
      <c r="Y20" s="52">
        <f t="shared" si="11"/>
        <v>686.6</v>
      </c>
      <c r="Z20" s="52">
        <f t="shared" si="4"/>
        <v>855.2</v>
      </c>
      <c r="AA20" s="52">
        <f t="shared" si="4"/>
        <v>1011.2</v>
      </c>
      <c r="AB20" s="52">
        <f t="shared" si="4"/>
        <v>917.6</v>
      </c>
      <c r="AC20" s="52">
        <f t="shared" si="4"/>
        <v>1354.5</v>
      </c>
      <c r="AD20" s="52">
        <f t="shared" si="4"/>
        <v>1872.6</v>
      </c>
      <c r="AE20" s="48">
        <v>630</v>
      </c>
      <c r="AF20" s="116">
        <f t="shared" si="12"/>
        <v>42</v>
      </c>
      <c r="AG20" s="52">
        <f t="shared" si="5"/>
        <v>1039.5</v>
      </c>
      <c r="AH20" s="52">
        <f t="shared" si="5"/>
        <v>1323</v>
      </c>
      <c r="AI20" s="52">
        <f t="shared" si="5"/>
        <v>1890</v>
      </c>
      <c r="AJ20" s="117">
        <v>610.4</v>
      </c>
      <c r="AK20" s="47">
        <f t="shared" si="13"/>
        <v>40.693333333333335</v>
      </c>
      <c r="AL20" s="117">
        <v>813.7</v>
      </c>
      <c r="AM20" s="47">
        <f t="shared" si="14"/>
        <v>54.24666666666667</v>
      </c>
      <c r="AN20" s="157">
        <f t="shared" si="15"/>
        <v>383.3</v>
      </c>
      <c r="AO20" s="171">
        <f>RCF!I$33</f>
        <v>25.559000000000001</v>
      </c>
      <c r="AP20" s="52">
        <f t="shared" si="16"/>
        <v>574.9</v>
      </c>
      <c r="AQ20" s="48">
        <v>656.9</v>
      </c>
      <c r="AR20" s="116">
        <f t="shared" si="17"/>
        <v>43.793333333333329</v>
      </c>
      <c r="AS20" s="52">
        <f t="shared" si="18"/>
        <v>853.9</v>
      </c>
      <c r="AT20" s="52">
        <f t="shared" si="18"/>
        <v>952.5</v>
      </c>
      <c r="AU20" s="48">
        <v>699.8</v>
      </c>
      <c r="AV20" s="116">
        <f t="shared" si="19"/>
        <v>46.653333333333329</v>
      </c>
      <c r="AW20" s="48">
        <v>666.5</v>
      </c>
      <c r="AX20" s="116">
        <f t="shared" si="20"/>
        <v>44.43333333333333</v>
      </c>
      <c r="AY20" s="48">
        <v>643</v>
      </c>
      <c r="AZ20" s="116">
        <f>AY20/C20</f>
        <v>42.866666666666667</v>
      </c>
    </row>
    <row r="21" spans="1:52" x14ac:dyDescent="0.2">
      <c r="A21" s="53" t="s">
        <v>23</v>
      </c>
      <c r="B21" s="54" t="s">
        <v>22</v>
      </c>
      <c r="C21" s="55">
        <v>30</v>
      </c>
      <c r="D21" s="48">
        <f t="shared" si="0"/>
        <v>1684.5</v>
      </c>
      <c r="E21" s="47">
        <f>RCF!C$43</f>
        <v>56.150171999999998</v>
      </c>
      <c r="F21" s="117">
        <v>621.20000000000005</v>
      </c>
      <c r="G21" s="47">
        <f t="shared" si="6"/>
        <v>20.706666666666667</v>
      </c>
      <c r="H21" s="117">
        <f t="shared" si="7"/>
        <v>645.4</v>
      </c>
      <c r="I21" s="47">
        <f t="shared" si="1"/>
        <v>21.513333333333332</v>
      </c>
      <c r="J21" s="52">
        <f t="shared" si="2"/>
        <v>709.9</v>
      </c>
      <c r="K21" s="52">
        <f t="shared" si="2"/>
        <v>884.2</v>
      </c>
      <c r="L21" s="52">
        <f t="shared" si="2"/>
        <v>948.7</v>
      </c>
      <c r="M21" s="52">
        <f t="shared" si="2"/>
        <v>1045.5</v>
      </c>
      <c r="N21" s="52">
        <f t="shared" si="2"/>
        <v>1290.8</v>
      </c>
      <c r="O21" s="52">
        <f t="shared" si="2"/>
        <v>1387.6</v>
      </c>
      <c r="P21" s="52">
        <f t="shared" si="2"/>
        <v>1936.2</v>
      </c>
      <c r="Q21" s="117">
        <v>630.9</v>
      </c>
      <c r="R21" s="47">
        <f t="shared" si="8"/>
        <v>21.029999999999998</v>
      </c>
      <c r="S21" s="52">
        <f t="shared" si="9"/>
        <v>820.1</v>
      </c>
      <c r="T21" s="52">
        <f t="shared" si="9"/>
        <v>946.3</v>
      </c>
      <c r="U21" s="117">
        <v>586</v>
      </c>
      <c r="V21" s="47">
        <f t="shared" si="10"/>
        <v>19.533333333333335</v>
      </c>
      <c r="W21" s="117">
        <v>624.20000000000005</v>
      </c>
      <c r="X21" s="47">
        <f t="shared" si="3"/>
        <v>20.806666666666668</v>
      </c>
      <c r="Y21" s="52">
        <f t="shared" si="11"/>
        <v>686.6</v>
      </c>
      <c r="Z21" s="52">
        <f t="shared" si="4"/>
        <v>855.2</v>
      </c>
      <c r="AA21" s="52">
        <f t="shared" si="4"/>
        <v>1011.2</v>
      </c>
      <c r="AB21" s="52">
        <f t="shared" si="4"/>
        <v>917.6</v>
      </c>
      <c r="AC21" s="52">
        <f t="shared" si="4"/>
        <v>1354.5</v>
      </c>
      <c r="AD21" s="52">
        <f t="shared" si="4"/>
        <v>1872.6</v>
      </c>
      <c r="AE21" s="48">
        <v>630</v>
      </c>
      <c r="AF21" s="116">
        <f t="shared" si="12"/>
        <v>21</v>
      </c>
      <c r="AG21" s="52">
        <f t="shared" si="5"/>
        <v>1039.5</v>
      </c>
      <c r="AH21" s="52">
        <f t="shared" si="5"/>
        <v>1323</v>
      </c>
      <c r="AI21" s="52">
        <f t="shared" si="5"/>
        <v>1890</v>
      </c>
      <c r="AJ21" s="117">
        <v>610.4</v>
      </c>
      <c r="AK21" s="47">
        <f t="shared" si="13"/>
        <v>20.346666666666668</v>
      </c>
      <c r="AL21" s="117">
        <v>813.7</v>
      </c>
      <c r="AM21" s="47">
        <f t="shared" si="14"/>
        <v>27.123333333333335</v>
      </c>
      <c r="AN21" s="157">
        <f t="shared" si="15"/>
        <v>766.7</v>
      </c>
      <c r="AO21" s="171">
        <f>RCF!I$33</f>
        <v>25.559000000000001</v>
      </c>
      <c r="AP21" s="52">
        <f t="shared" si="16"/>
        <v>1150</v>
      </c>
      <c r="AQ21" s="48">
        <v>656.9</v>
      </c>
      <c r="AR21" s="116">
        <f t="shared" si="17"/>
        <v>21.896666666666665</v>
      </c>
      <c r="AS21" s="52">
        <f t="shared" si="18"/>
        <v>853.9</v>
      </c>
      <c r="AT21" s="52">
        <f t="shared" si="18"/>
        <v>952.5</v>
      </c>
      <c r="AU21" s="48">
        <v>699.8</v>
      </c>
      <c r="AV21" s="116">
        <f t="shared" si="19"/>
        <v>23.326666666666664</v>
      </c>
      <c r="AW21" s="48">
        <v>666.5</v>
      </c>
      <c r="AX21" s="116">
        <f t="shared" si="20"/>
        <v>22.216666666666665</v>
      </c>
      <c r="AY21" s="48">
        <v>643</v>
      </c>
      <c r="AZ21" s="116">
        <f t="shared" ref="AZ21:AZ25" si="36">AY21/C21</f>
        <v>21.433333333333334</v>
      </c>
    </row>
    <row r="22" spans="1:52" x14ac:dyDescent="0.2">
      <c r="A22" s="53" t="s">
        <v>24</v>
      </c>
      <c r="B22" s="54" t="s">
        <v>22</v>
      </c>
      <c r="C22" s="55">
        <v>45</v>
      </c>
      <c r="D22" s="48">
        <f t="shared" si="0"/>
        <v>2526.8000000000002</v>
      </c>
      <c r="E22" s="47">
        <f>RCF!C$43</f>
        <v>56.150171999999998</v>
      </c>
      <c r="F22" s="117">
        <v>621.20000000000005</v>
      </c>
      <c r="G22" s="47">
        <f t="shared" si="6"/>
        <v>13.804444444444446</v>
      </c>
      <c r="H22" s="117">
        <f t="shared" si="7"/>
        <v>645.4</v>
      </c>
      <c r="I22" s="47">
        <f t="shared" si="1"/>
        <v>14.342222222222222</v>
      </c>
      <c r="J22" s="52">
        <f t="shared" si="2"/>
        <v>709.9</v>
      </c>
      <c r="K22" s="52">
        <f t="shared" si="2"/>
        <v>884.2</v>
      </c>
      <c r="L22" s="52">
        <f t="shared" si="2"/>
        <v>948.7</v>
      </c>
      <c r="M22" s="52">
        <f t="shared" si="2"/>
        <v>1045.5</v>
      </c>
      <c r="N22" s="52">
        <f t="shared" si="2"/>
        <v>1290.8</v>
      </c>
      <c r="O22" s="52">
        <f t="shared" si="2"/>
        <v>1387.6</v>
      </c>
      <c r="P22" s="52">
        <f t="shared" si="2"/>
        <v>1936.2</v>
      </c>
      <c r="Q22" s="117">
        <v>630.9</v>
      </c>
      <c r="R22" s="47">
        <f t="shared" si="8"/>
        <v>14.02</v>
      </c>
      <c r="S22" s="52">
        <f t="shared" si="9"/>
        <v>820.1</v>
      </c>
      <c r="T22" s="52">
        <f t="shared" si="9"/>
        <v>946.3</v>
      </c>
      <c r="U22" s="117">
        <v>586</v>
      </c>
      <c r="V22" s="47">
        <f t="shared" si="10"/>
        <v>13.022222222222222</v>
      </c>
      <c r="W22" s="117">
        <v>624.20000000000005</v>
      </c>
      <c r="X22" s="47">
        <f t="shared" si="3"/>
        <v>13.871111111111112</v>
      </c>
      <c r="Y22" s="52">
        <f t="shared" si="11"/>
        <v>686.6</v>
      </c>
      <c r="Z22" s="52">
        <f t="shared" si="4"/>
        <v>855.2</v>
      </c>
      <c r="AA22" s="52">
        <f t="shared" si="4"/>
        <v>1011.2</v>
      </c>
      <c r="AB22" s="52">
        <f t="shared" si="4"/>
        <v>917.6</v>
      </c>
      <c r="AC22" s="52">
        <f t="shared" si="4"/>
        <v>1354.5</v>
      </c>
      <c r="AD22" s="52">
        <f t="shared" si="4"/>
        <v>1872.6</v>
      </c>
      <c r="AE22" s="48">
        <v>630</v>
      </c>
      <c r="AF22" s="116">
        <f t="shared" si="12"/>
        <v>14</v>
      </c>
      <c r="AG22" s="52">
        <f t="shared" si="5"/>
        <v>1039.5</v>
      </c>
      <c r="AH22" s="52">
        <f t="shared" si="5"/>
        <v>1323</v>
      </c>
      <c r="AI22" s="52">
        <f t="shared" si="5"/>
        <v>1890</v>
      </c>
      <c r="AJ22" s="117">
        <v>610.4</v>
      </c>
      <c r="AK22" s="47">
        <f t="shared" si="13"/>
        <v>13.564444444444444</v>
      </c>
      <c r="AL22" s="117">
        <v>813.7</v>
      </c>
      <c r="AM22" s="47">
        <f t="shared" si="14"/>
        <v>18.082222222222224</v>
      </c>
      <c r="AN22" s="157">
        <f t="shared" si="15"/>
        <v>1150.0999999999999</v>
      </c>
      <c r="AO22" s="171">
        <f>RCF!I$33</f>
        <v>25.559000000000001</v>
      </c>
      <c r="AP22" s="52">
        <f t="shared" si="16"/>
        <v>1725.1</v>
      </c>
      <c r="AQ22" s="48">
        <v>656.9</v>
      </c>
      <c r="AR22" s="116">
        <f t="shared" si="17"/>
        <v>14.597777777777777</v>
      </c>
      <c r="AS22" s="52">
        <f t="shared" si="18"/>
        <v>853.9</v>
      </c>
      <c r="AT22" s="52">
        <f t="shared" si="18"/>
        <v>952.5</v>
      </c>
      <c r="AU22" s="48">
        <v>699.8</v>
      </c>
      <c r="AV22" s="116">
        <f t="shared" si="19"/>
        <v>15.55111111111111</v>
      </c>
      <c r="AW22" s="48">
        <v>666.5</v>
      </c>
      <c r="AX22" s="116">
        <f t="shared" si="20"/>
        <v>14.811111111111112</v>
      </c>
      <c r="AY22" s="48">
        <v>643</v>
      </c>
      <c r="AZ22" s="116">
        <f t="shared" si="36"/>
        <v>14.28888888888889</v>
      </c>
    </row>
    <row r="23" spans="1:52" x14ac:dyDescent="0.2">
      <c r="A23" s="53" t="s">
        <v>25</v>
      </c>
      <c r="B23" s="54" t="s">
        <v>26</v>
      </c>
      <c r="C23" s="55">
        <v>15</v>
      </c>
      <c r="D23" s="48">
        <f t="shared" si="0"/>
        <v>842.3</v>
      </c>
      <c r="E23" s="47">
        <f>RCF!C$43</f>
        <v>56.150171999999998</v>
      </c>
      <c r="F23" s="117">
        <v>621.20000000000005</v>
      </c>
      <c r="G23" s="47">
        <f t="shared" si="6"/>
        <v>41.413333333333334</v>
      </c>
      <c r="H23" s="117">
        <f t="shared" si="7"/>
        <v>645.4</v>
      </c>
      <c r="I23" s="47">
        <f t="shared" si="1"/>
        <v>43.026666666666664</v>
      </c>
      <c r="J23" s="52">
        <f t="shared" si="2"/>
        <v>709.9</v>
      </c>
      <c r="K23" s="52">
        <f t="shared" si="2"/>
        <v>884.2</v>
      </c>
      <c r="L23" s="52">
        <f t="shared" si="2"/>
        <v>948.7</v>
      </c>
      <c r="M23" s="52">
        <f t="shared" si="2"/>
        <v>1045.5</v>
      </c>
      <c r="N23" s="52">
        <f t="shared" si="2"/>
        <v>1290.8</v>
      </c>
      <c r="O23" s="52">
        <f t="shared" si="2"/>
        <v>1387.6</v>
      </c>
      <c r="P23" s="52">
        <f t="shared" si="2"/>
        <v>1936.2</v>
      </c>
      <c r="Q23" s="117">
        <v>630.9</v>
      </c>
      <c r="R23" s="47">
        <f t="shared" si="8"/>
        <v>42.059999999999995</v>
      </c>
      <c r="S23" s="52">
        <f t="shared" si="9"/>
        <v>820.1</v>
      </c>
      <c r="T23" s="52">
        <f t="shared" si="9"/>
        <v>946.3</v>
      </c>
      <c r="U23" s="117">
        <v>618.4</v>
      </c>
      <c r="V23" s="47">
        <f t="shared" si="10"/>
        <v>41.226666666666667</v>
      </c>
      <c r="W23" s="117">
        <v>658.5</v>
      </c>
      <c r="X23" s="47">
        <f t="shared" si="3"/>
        <v>43.9</v>
      </c>
      <c r="Y23" s="52">
        <f t="shared" si="11"/>
        <v>724.3</v>
      </c>
      <c r="Z23" s="52">
        <f t="shared" si="4"/>
        <v>902.1</v>
      </c>
      <c r="AA23" s="52">
        <f t="shared" si="4"/>
        <v>1066.8</v>
      </c>
      <c r="AB23" s="52">
        <f t="shared" si="4"/>
        <v>968</v>
      </c>
      <c r="AC23" s="52">
        <f t="shared" si="4"/>
        <v>1428.9</v>
      </c>
      <c r="AD23" s="52">
        <f t="shared" si="4"/>
        <v>1975.5</v>
      </c>
      <c r="AE23" s="48">
        <v>630</v>
      </c>
      <c r="AF23" s="116">
        <f t="shared" si="12"/>
        <v>42</v>
      </c>
      <c r="AG23" s="52">
        <f t="shared" si="5"/>
        <v>1039.5</v>
      </c>
      <c r="AH23" s="52">
        <f t="shared" si="5"/>
        <v>1323</v>
      </c>
      <c r="AI23" s="52">
        <f t="shared" si="5"/>
        <v>1890</v>
      </c>
      <c r="AJ23" s="117">
        <v>616.29999999999995</v>
      </c>
      <c r="AK23" s="47">
        <f t="shared" si="13"/>
        <v>41.086666666666666</v>
      </c>
      <c r="AL23" s="117">
        <v>837.1</v>
      </c>
      <c r="AM23" s="47">
        <f t="shared" si="14"/>
        <v>55.806666666666665</v>
      </c>
      <c r="AN23" s="157">
        <f t="shared" si="15"/>
        <v>383.3</v>
      </c>
      <c r="AO23" s="171">
        <f>RCF!I$33</f>
        <v>25.559000000000001</v>
      </c>
      <c r="AP23" s="52">
        <f t="shared" si="16"/>
        <v>574.9</v>
      </c>
      <c r="AQ23" s="48">
        <v>656.9</v>
      </c>
      <c r="AR23" s="116">
        <f t="shared" si="17"/>
        <v>43.793333333333329</v>
      </c>
      <c r="AS23" s="52">
        <f t="shared" si="18"/>
        <v>853.9</v>
      </c>
      <c r="AT23" s="52">
        <f t="shared" si="18"/>
        <v>952.5</v>
      </c>
      <c r="AU23" s="48">
        <v>766.6</v>
      </c>
      <c r="AV23" s="116">
        <f t="shared" si="19"/>
        <v>51.106666666666669</v>
      </c>
      <c r="AW23" s="48">
        <v>666.5</v>
      </c>
      <c r="AX23" s="116">
        <f t="shared" si="20"/>
        <v>44.43333333333333</v>
      </c>
      <c r="AY23" s="48">
        <v>643</v>
      </c>
      <c r="AZ23" s="116">
        <f t="shared" si="36"/>
        <v>42.866666666666667</v>
      </c>
    </row>
    <row r="24" spans="1:52" x14ac:dyDescent="0.2">
      <c r="A24" s="53" t="s">
        <v>27</v>
      </c>
      <c r="B24" s="54" t="s">
        <v>26</v>
      </c>
      <c r="C24" s="55">
        <v>30</v>
      </c>
      <c r="D24" s="48">
        <f t="shared" si="0"/>
        <v>1684.5</v>
      </c>
      <c r="E24" s="47">
        <f>RCF!C$43</f>
        <v>56.150171999999998</v>
      </c>
      <c r="F24" s="117">
        <v>621.20000000000005</v>
      </c>
      <c r="G24" s="47">
        <f t="shared" si="6"/>
        <v>20.706666666666667</v>
      </c>
      <c r="H24" s="117">
        <f t="shared" si="7"/>
        <v>645.4</v>
      </c>
      <c r="I24" s="47">
        <f t="shared" si="1"/>
        <v>21.513333333333332</v>
      </c>
      <c r="J24" s="52">
        <f t="shared" si="2"/>
        <v>709.9</v>
      </c>
      <c r="K24" s="52">
        <f t="shared" si="2"/>
        <v>884.2</v>
      </c>
      <c r="L24" s="52">
        <f t="shared" si="2"/>
        <v>948.7</v>
      </c>
      <c r="M24" s="52">
        <f t="shared" si="2"/>
        <v>1045.5</v>
      </c>
      <c r="N24" s="52">
        <f t="shared" si="2"/>
        <v>1290.8</v>
      </c>
      <c r="O24" s="52">
        <f t="shared" si="2"/>
        <v>1387.6</v>
      </c>
      <c r="P24" s="52">
        <f t="shared" si="2"/>
        <v>1936.2</v>
      </c>
      <c r="Q24" s="117">
        <v>630.9</v>
      </c>
      <c r="R24" s="47">
        <f t="shared" si="8"/>
        <v>21.029999999999998</v>
      </c>
      <c r="S24" s="52">
        <f t="shared" si="9"/>
        <v>820.1</v>
      </c>
      <c r="T24" s="52">
        <f t="shared" si="9"/>
        <v>946.3</v>
      </c>
      <c r="U24" s="117">
        <v>618.4</v>
      </c>
      <c r="V24" s="47">
        <f t="shared" si="10"/>
        <v>20.613333333333333</v>
      </c>
      <c r="W24" s="117">
        <v>658.5</v>
      </c>
      <c r="X24" s="47">
        <f t="shared" si="3"/>
        <v>21.95</v>
      </c>
      <c r="Y24" s="52">
        <f t="shared" si="11"/>
        <v>724.3</v>
      </c>
      <c r="Z24" s="52">
        <f t="shared" si="4"/>
        <v>902.1</v>
      </c>
      <c r="AA24" s="52">
        <f t="shared" si="4"/>
        <v>1066.8</v>
      </c>
      <c r="AB24" s="52">
        <f t="shared" si="4"/>
        <v>968</v>
      </c>
      <c r="AC24" s="52">
        <f t="shared" si="4"/>
        <v>1428.9</v>
      </c>
      <c r="AD24" s="52">
        <f t="shared" si="4"/>
        <v>1975.5</v>
      </c>
      <c r="AE24" s="48">
        <v>630</v>
      </c>
      <c r="AF24" s="116">
        <f t="shared" si="12"/>
        <v>21</v>
      </c>
      <c r="AG24" s="52">
        <f t="shared" si="5"/>
        <v>1039.5</v>
      </c>
      <c r="AH24" s="52">
        <f t="shared" si="5"/>
        <v>1323</v>
      </c>
      <c r="AI24" s="52">
        <f t="shared" si="5"/>
        <v>1890</v>
      </c>
      <c r="AJ24" s="117">
        <v>616.29999999999995</v>
      </c>
      <c r="AK24" s="47">
        <f t="shared" si="13"/>
        <v>20.543333333333333</v>
      </c>
      <c r="AL24" s="117">
        <v>837.1</v>
      </c>
      <c r="AM24" s="47">
        <f t="shared" si="14"/>
        <v>27.903333333333332</v>
      </c>
      <c r="AN24" s="157">
        <f t="shared" si="15"/>
        <v>766.7</v>
      </c>
      <c r="AO24" s="171">
        <f>RCF!I$33</f>
        <v>25.559000000000001</v>
      </c>
      <c r="AP24" s="52">
        <f t="shared" si="16"/>
        <v>1150</v>
      </c>
      <c r="AQ24" s="48">
        <v>656.9</v>
      </c>
      <c r="AR24" s="116">
        <f t="shared" si="17"/>
        <v>21.896666666666665</v>
      </c>
      <c r="AS24" s="52">
        <f t="shared" si="18"/>
        <v>853.9</v>
      </c>
      <c r="AT24" s="52">
        <f t="shared" si="18"/>
        <v>952.5</v>
      </c>
      <c r="AU24" s="48">
        <v>766.6</v>
      </c>
      <c r="AV24" s="116">
        <f t="shared" si="19"/>
        <v>25.553333333333335</v>
      </c>
      <c r="AW24" s="48">
        <v>666.5</v>
      </c>
      <c r="AX24" s="116">
        <f t="shared" si="20"/>
        <v>22.216666666666665</v>
      </c>
      <c r="AY24" s="48">
        <v>643</v>
      </c>
      <c r="AZ24" s="116">
        <f t="shared" si="36"/>
        <v>21.433333333333334</v>
      </c>
    </row>
    <row r="25" spans="1:52" x14ac:dyDescent="0.2">
      <c r="A25" s="53" t="s">
        <v>28</v>
      </c>
      <c r="B25" s="54" t="s">
        <v>26</v>
      </c>
      <c r="C25" s="55">
        <v>45</v>
      </c>
      <c r="D25" s="48">
        <f t="shared" si="0"/>
        <v>2526.8000000000002</v>
      </c>
      <c r="E25" s="47">
        <f>RCF!C$43</f>
        <v>56.150171999999998</v>
      </c>
      <c r="F25" s="117">
        <v>621.20000000000005</v>
      </c>
      <c r="G25" s="47">
        <f t="shared" si="6"/>
        <v>13.804444444444446</v>
      </c>
      <c r="H25" s="117">
        <f t="shared" si="7"/>
        <v>645.4</v>
      </c>
      <c r="I25" s="47">
        <f t="shared" si="1"/>
        <v>14.342222222222222</v>
      </c>
      <c r="J25" s="52">
        <f t="shared" si="2"/>
        <v>709.9</v>
      </c>
      <c r="K25" s="52">
        <f t="shared" si="2"/>
        <v>884.2</v>
      </c>
      <c r="L25" s="52">
        <f t="shared" si="2"/>
        <v>948.7</v>
      </c>
      <c r="M25" s="52">
        <f t="shared" si="2"/>
        <v>1045.5</v>
      </c>
      <c r="N25" s="52">
        <f t="shared" si="2"/>
        <v>1290.8</v>
      </c>
      <c r="O25" s="52">
        <f t="shared" si="2"/>
        <v>1387.6</v>
      </c>
      <c r="P25" s="52">
        <f t="shared" si="2"/>
        <v>1936.2</v>
      </c>
      <c r="Q25" s="117">
        <v>630.9</v>
      </c>
      <c r="R25" s="47">
        <f t="shared" si="8"/>
        <v>14.02</v>
      </c>
      <c r="S25" s="52">
        <f t="shared" si="9"/>
        <v>820.1</v>
      </c>
      <c r="T25" s="52">
        <f t="shared" si="9"/>
        <v>946.3</v>
      </c>
      <c r="U25" s="117">
        <v>618.4</v>
      </c>
      <c r="V25" s="47">
        <f t="shared" si="10"/>
        <v>13.742222222222221</v>
      </c>
      <c r="W25" s="117">
        <v>658.5</v>
      </c>
      <c r="X25" s="47">
        <f t="shared" si="3"/>
        <v>14.633333333333333</v>
      </c>
      <c r="Y25" s="52">
        <f t="shared" si="11"/>
        <v>724.3</v>
      </c>
      <c r="Z25" s="52">
        <f t="shared" si="4"/>
        <v>902.1</v>
      </c>
      <c r="AA25" s="52">
        <f t="shared" si="4"/>
        <v>1066.8</v>
      </c>
      <c r="AB25" s="52">
        <f t="shared" si="4"/>
        <v>968</v>
      </c>
      <c r="AC25" s="52">
        <f t="shared" si="4"/>
        <v>1428.9</v>
      </c>
      <c r="AD25" s="52">
        <f t="shared" si="4"/>
        <v>1975.5</v>
      </c>
      <c r="AE25" s="48">
        <v>630</v>
      </c>
      <c r="AF25" s="116">
        <f t="shared" si="12"/>
        <v>14</v>
      </c>
      <c r="AG25" s="52">
        <f t="shared" si="5"/>
        <v>1039.5</v>
      </c>
      <c r="AH25" s="52">
        <f t="shared" si="5"/>
        <v>1323</v>
      </c>
      <c r="AI25" s="52">
        <f t="shared" si="5"/>
        <v>1890</v>
      </c>
      <c r="AJ25" s="117">
        <v>616.29999999999995</v>
      </c>
      <c r="AK25" s="47">
        <f t="shared" si="13"/>
        <v>13.695555555555554</v>
      </c>
      <c r="AL25" s="117">
        <v>837.1</v>
      </c>
      <c r="AM25" s="47">
        <f t="shared" si="14"/>
        <v>18.602222222222224</v>
      </c>
      <c r="AN25" s="157">
        <f t="shared" si="15"/>
        <v>1150.0999999999999</v>
      </c>
      <c r="AO25" s="171">
        <f>RCF!I$33</f>
        <v>25.559000000000001</v>
      </c>
      <c r="AP25" s="52">
        <f t="shared" si="16"/>
        <v>1725.1</v>
      </c>
      <c r="AQ25" s="48">
        <v>656.9</v>
      </c>
      <c r="AR25" s="116">
        <f t="shared" si="17"/>
        <v>14.597777777777777</v>
      </c>
      <c r="AS25" s="52">
        <f t="shared" si="18"/>
        <v>853.9</v>
      </c>
      <c r="AT25" s="52">
        <f t="shared" si="18"/>
        <v>952.5</v>
      </c>
      <c r="AU25" s="48">
        <v>766.6</v>
      </c>
      <c r="AV25" s="116">
        <f t="shared" si="19"/>
        <v>17.035555555555558</v>
      </c>
      <c r="AW25" s="48">
        <v>666.5</v>
      </c>
      <c r="AX25" s="116">
        <f t="shared" si="20"/>
        <v>14.811111111111112</v>
      </c>
      <c r="AY25" s="48">
        <v>643</v>
      </c>
      <c r="AZ25" s="116">
        <f t="shared" si="36"/>
        <v>14.28888888888889</v>
      </c>
    </row>
    <row r="26" spans="1:52" s="207" customFormat="1" x14ac:dyDescent="0.2">
      <c r="A26" s="199" t="s">
        <v>151</v>
      </c>
      <c r="B26" s="200" t="s">
        <v>26</v>
      </c>
      <c r="C26" s="201">
        <v>63.6</v>
      </c>
      <c r="D26" s="202">
        <f t="shared" ref="D26" si="37">ROUND(E26*C26,1)</f>
        <v>3571.2</v>
      </c>
      <c r="E26" s="203">
        <f>RCF!C$43</f>
        <v>56.150171999999998</v>
      </c>
      <c r="F26" s="204">
        <v>0</v>
      </c>
      <c r="G26" s="203">
        <f t="shared" ref="G26" si="38">F26/C26</f>
        <v>0</v>
      </c>
      <c r="H26" s="204">
        <f t="shared" ref="H26" si="39">ROUNDDOWN(F26*1.039,1)</f>
        <v>0</v>
      </c>
      <c r="I26" s="203">
        <f t="shared" ref="I26" si="40">H26/C26</f>
        <v>0</v>
      </c>
      <c r="J26" s="205">
        <f t="shared" si="2"/>
        <v>0</v>
      </c>
      <c r="K26" s="205">
        <f t="shared" si="2"/>
        <v>0</v>
      </c>
      <c r="L26" s="205">
        <f t="shared" si="2"/>
        <v>0</v>
      </c>
      <c r="M26" s="205">
        <f t="shared" si="2"/>
        <v>0</v>
      </c>
      <c r="N26" s="205">
        <f t="shared" si="2"/>
        <v>0</v>
      </c>
      <c r="O26" s="205">
        <f t="shared" si="2"/>
        <v>0</v>
      </c>
      <c r="P26" s="205">
        <f t="shared" si="2"/>
        <v>0</v>
      </c>
      <c r="Q26" s="204">
        <v>0</v>
      </c>
      <c r="R26" s="203">
        <f t="shared" ref="R26" si="41">Q26/C26</f>
        <v>0</v>
      </c>
      <c r="S26" s="205">
        <f t="shared" si="9"/>
        <v>0</v>
      </c>
      <c r="T26" s="205">
        <f t="shared" si="9"/>
        <v>0</v>
      </c>
      <c r="U26" s="204"/>
      <c r="V26" s="203">
        <f t="shared" ref="V26" si="42">U26/C26</f>
        <v>0</v>
      </c>
      <c r="W26" s="204">
        <v>0</v>
      </c>
      <c r="X26" s="203">
        <f t="shared" ref="X26" si="43">W26/C26</f>
        <v>0</v>
      </c>
      <c r="Y26" s="205">
        <f t="shared" si="11"/>
        <v>0</v>
      </c>
      <c r="Z26" s="205">
        <f t="shared" si="4"/>
        <v>0</v>
      </c>
      <c r="AA26" s="205">
        <f t="shared" si="4"/>
        <v>0</v>
      </c>
      <c r="AB26" s="205">
        <f t="shared" si="4"/>
        <v>0</v>
      </c>
      <c r="AC26" s="205">
        <f t="shared" si="4"/>
        <v>0</v>
      </c>
      <c r="AD26" s="205">
        <f t="shared" si="4"/>
        <v>0</v>
      </c>
      <c r="AE26" s="202">
        <v>0</v>
      </c>
      <c r="AF26" s="206">
        <f t="shared" ref="AF26" si="44">AE26/C26</f>
        <v>0</v>
      </c>
      <c r="AG26" s="205">
        <f t="shared" si="5"/>
        <v>0</v>
      </c>
      <c r="AH26" s="205">
        <f t="shared" si="5"/>
        <v>0</v>
      </c>
      <c r="AI26" s="205">
        <f t="shared" si="5"/>
        <v>0</v>
      </c>
      <c r="AJ26" s="204">
        <v>616.29999999999995</v>
      </c>
      <c r="AK26" s="203">
        <f t="shared" ref="AK26" si="45">AJ26/C26</f>
        <v>9.6902515723270426</v>
      </c>
      <c r="AL26" s="204">
        <v>837.1</v>
      </c>
      <c r="AM26" s="203">
        <f t="shared" ref="AM26" si="46">AL26/$C26</f>
        <v>13.161949685534591</v>
      </c>
      <c r="AN26" s="202">
        <f t="shared" ref="AN26" si="47">ROUNDDOWN(C26*AO26,1)</f>
        <v>1625.5</v>
      </c>
      <c r="AO26" s="206">
        <f>RCF!I$33</f>
        <v>25.559000000000001</v>
      </c>
      <c r="AP26" s="205">
        <f t="shared" si="16"/>
        <v>2438.1999999999998</v>
      </c>
      <c r="AQ26" s="202"/>
      <c r="AR26" s="206">
        <f t="shared" ref="AR26" si="48">AQ26/C26</f>
        <v>0</v>
      </c>
      <c r="AS26" s="205">
        <f t="shared" si="18"/>
        <v>0</v>
      </c>
      <c r="AT26" s="205">
        <f t="shared" si="18"/>
        <v>0</v>
      </c>
      <c r="AU26" s="202">
        <v>766.6</v>
      </c>
      <c r="AV26" s="206">
        <f t="shared" ref="AV26" si="49">AU26/C26</f>
        <v>12.053459119496855</v>
      </c>
      <c r="AW26" s="202"/>
      <c r="AX26" s="206">
        <f t="shared" ref="AX26" si="50">AW26/C26</f>
        <v>0</v>
      </c>
      <c r="AY26" s="202"/>
      <c r="AZ26" s="206">
        <f t="shared" ref="AZ26" si="51">AY26/C26</f>
        <v>0</v>
      </c>
    </row>
    <row r="27" spans="1:52" x14ac:dyDescent="0.2">
      <c r="A27" s="53" t="s">
        <v>29</v>
      </c>
      <c r="B27" s="54" t="s">
        <v>30</v>
      </c>
      <c r="C27" s="55">
        <v>21.43</v>
      </c>
      <c r="D27" s="48">
        <f t="shared" si="0"/>
        <v>1203.3</v>
      </c>
      <c r="E27" s="47">
        <f>RCF!C$43</f>
        <v>56.150171999999998</v>
      </c>
      <c r="F27" s="117">
        <v>512.20000000000005</v>
      </c>
      <c r="G27" s="47">
        <f t="shared" si="6"/>
        <v>23.90107326178255</v>
      </c>
      <c r="H27" s="117">
        <f t="shared" si="7"/>
        <v>532.1</v>
      </c>
      <c r="I27" s="47">
        <f t="shared" si="1"/>
        <v>24.829678021465238</v>
      </c>
      <c r="J27" s="52">
        <f t="shared" si="2"/>
        <v>585.29999999999995</v>
      </c>
      <c r="K27" s="52">
        <f t="shared" si="2"/>
        <v>729</v>
      </c>
      <c r="L27" s="52">
        <f t="shared" si="2"/>
        <v>782.2</v>
      </c>
      <c r="M27" s="52">
        <f t="shared" si="2"/>
        <v>862</v>
      </c>
      <c r="N27" s="52">
        <f t="shared" si="2"/>
        <v>1064.2</v>
      </c>
      <c r="O27" s="52">
        <f t="shared" si="2"/>
        <v>1144</v>
      </c>
      <c r="P27" s="52">
        <f t="shared" si="2"/>
        <v>1596.3</v>
      </c>
      <c r="Q27" s="117">
        <v>520.1</v>
      </c>
      <c r="R27" s="47">
        <f t="shared" si="8"/>
        <v>24.269715352309849</v>
      </c>
      <c r="S27" s="52">
        <f t="shared" si="9"/>
        <v>676.1</v>
      </c>
      <c r="T27" s="52">
        <f t="shared" si="9"/>
        <v>780.1</v>
      </c>
      <c r="U27" s="117">
        <v>482</v>
      </c>
      <c r="V27" s="47">
        <f t="shared" si="10"/>
        <v>22.491833877741485</v>
      </c>
      <c r="W27" s="52">
        <f>513.3</f>
        <v>513.29999999999995</v>
      </c>
      <c r="X27" s="47">
        <f t="shared" si="3"/>
        <v>23.952403173121791</v>
      </c>
      <c r="Y27" s="52">
        <f>W27</f>
        <v>513.29999999999995</v>
      </c>
      <c r="Z27" s="52">
        <f>W27</f>
        <v>513.29999999999995</v>
      </c>
      <c r="AA27" s="52">
        <f>Z27</f>
        <v>513.29999999999995</v>
      </c>
      <c r="AB27" s="52">
        <f t="shared" ref="AB27:AD27" si="52">AA27</f>
        <v>513.29999999999995</v>
      </c>
      <c r="AC27" s="52">
        <f t="shared" si="52"/>
        <v>513.29999999999995</v>
      </c>
      <c r="AD27" s="52">
        <f t="shared" si="52"/>
        <v>513.29999999999995</v>
      </c>
      <c r="AE27" s="48">
        <v>519.6</v>
      </c>
      <c r="AF27" s="116">
        <f t="shared" si="12"/>
        <v>24.246383574428371</v>
      </c>
      <c r="AG27" s="52">
        <f t="shared" si="5"/>
        <v>857.3</v>
      </c>
      <c r="AH27" s="52">
        <f t="shared" si="5"/>
        <v>1091.2</v>
      </c>
      <c r="AI27" s="52">
        <f t="shared" si="5"/>
        <v>1558.8</v>
      </c>
      <c r="AJ27" s="117">
        <v>454.4</v>
      </c>
      <c r="AK27" s="47">
        <f t="shared" si="13"/>
        <v>21.203919738684085</v>
      </c>
      <c r="AL27" s="117">
        <v>605.6</v>
      </c>
      <c r="AM27" s="47">
        <f t="shared" si="14"/>
        <v>28.259449370041999</v>
      </c>
      <c r="AN27" s="157">
        <f t="shared" si="15"/>
        <v>547.70000000000005</v>
      </c>
      <c r="AO27" s="171">
        <f>RCF!I$33</f>
        <v>25.559000000000001</v>
      </c>
      <c r="AP27" s="52">
        <f t="shared" si="16"/>
        <v>821.5</v>
      </c>
      <c r="AQ27" s="48">
        <v>541.5</v>
      </c>
      <c r="AR27" s="116">
        <f t="shared" si="17"/>
        <v>25.268315445636958</v>
      </c>
      <c r="AS27" s="52">
        <f t="shared" si="18"/>
        <v>703.9</v>
      </c>
      <c r="AT27" s="52">
        <f t="shared" si="18"/>
        <v>785.1</v>
      </c>
      <c r="AU27" s="48">
        <v>683.6</v>
      </c>
      <c r="AV27" s="116">
        <f t="shared" si="19"/>
        <v>31.89920671955203</v>
      </c>
      <c r="AW27" s="48">
        <v>549.4</v>
      </c>
      <c r="AX27" s="116">
        <f t="shared" si="20"/>
        <v>25.636957536164257</v>
      </c>
      <c r="AY27" s="157">
        <f>ROUNDDOWN($AZ27*$C27,1)</f>
        <v>530.1</v>
      </c>
      <c r="AZ27" s="116">
        <f>RCF!I$41</f>
        <v>24.738</v>
      </c>
    </row>
    <row r="28" spans="1:52" x14ac:dyDescent="0.2">
      <c r="A28" s="57"/>
      <c r="B28" s="58"/>
      <c r="C28" s="59"/>
      <c r="D28" s="59"/>
      <c r="E28" s="60"/>
      <c r="F28" s="59"/>
      <c r="G28" s="60"/>
      <c r="H28" s="59"/>
      <c r="I28" s="60"/>
      <c r="J28" s="63"/>
      <c r="K28" s="63"/>
      <c r="L28" s="63"/>
      <c r="M28" s="63"/>
      <c r="N28" s="63"/>
      <c r="O28" s="62"/>
      <c r="P28" s="62"/>
      <c r="Q28" s="59"/>
      <c r="R28" s="60"/>
      <c r="S28" s="62"/>
      <c r="T28" s="62"/>
      <c r="U28" s="59"/>
      <c r="V28" s="60"/>
      <c r="W28" s="118"/>
      <c r="X28" s="60"/>
      <c r="Y28" s="62"/>
      <c r="Z28" s="62"/>
      <c r="AA28" s="62"/>
      <c r="AB28" s="62"/>
      <c r="AC28" s="62"/>
      <c r="AD28" s="62"/>
      <c r="AE28" s="61"/>
      <c r="AF28" s="60"/>
      <c r="AG28" s="63"/>
      <c r="AH28" s="63"/>
      <c r="AI28" s="63"/>
      <c r="AJ28" s="59"/>
      <c r="AK28" s="60"/>
      <c r="AL28" s="59"/>
      <c r="AM28" s="60"/>
      <c r="AN28" s="61"/>
      <c r="AO28" s="60"/>
      <c r="AP28" s="63"/>
      <c r="AQ28" s="61"/>
      <c r="AR28" s="60"/>
      <c r="AS28" s="63"/>
      <c r="AT28" s="63"/>
      <c r="AU28" s="61"/>
      <c r="AV28" s="60"/>
      <c r="AW28" s="61"/>
      <c r="AX28" s="60"/>
      <c r="AY28" s="59"/>
      <c r="AZ28" s="60"/>
    </row>
    <row r="29" spans="1:52" x14ac:dyDescent="0.2">
      <c r="A29" s="24"/>
      <c r="B29" s="25" t="s">
        <v>4</v>
      </c>
      <c r="C29" s="26"/>
      <c r="D29" s="27"/>
      <c r="E29" s="28"/>
      <c r="F29" s="27"/>
      <c r="G29" s="28"/>
      <c r="H29" s="27"/>
      <c r="I29" s="28"/>
      <c r="J29" s="28"/>
      <c r="K29" s="28"/>
      <c r="L29" s="28"/>
      <c r="M29" s="28"/>
      <c r="N29" s="28"/>
      <c r="O29" s="30"/>
      <c r="P29" s="31"/>
      <c r="Q29" s="27"/>
      <c r="R29" s="28"/>
      <c r="S29" s="30"/>
      <c r="T29" s="31"/>
      <c r="U29" s="27"/>
      <c r="V29" s="28"/>
      <c r="W29" s="29"/>
      <c r="X29" s="28"/>
      <c r="Y29" s="31"/>
      <c r="Z29" s="31"/>
      <c r="AA29" s="31"/>
      <c r="AB29" s="31"/>
      <c r="AC29" s="31"/>
      <c r="AD29" s="31"/>
      <c r="AE29" s="29"/>
      <c r="AF29" s="28"/>
      <c r="AG29" s="27"/>
      <c r="AH29" s="27"/>
      <c r="AI29" s="32"/>
      <c r="AJ29" s="27"/>
      <c r="AK29" s="27"/>
      <c r="AL29" s="27"/>
      <c r="AM29" s="27"/>
      <c r="AN29" s="29"/>
      <c r="AO29" s="28"/>
      <c r="AP29" s="27"/>
      <c r="AQ29" s="29"/>
      <c r="AR29" s="28"/>
      <c r="AS29" s="27"/>
      <c r="AT29" s="27"/>
      <c r="AU29" s="29"/>
      <c r="AV29" s="28"/>
      <c r="AW29" s="29"/>
      <c r="AX29" s="28"/>
      <c r="AY29" s="28"/>
      <c r="AZ29" s="28"/>
    </row>
    <row r="30" spans="1:52" x14ac:dyDescent="0.2">
      <c r="A30" s="64"/>
      <c r="B30" s="65"/>
      <c r="C30" s="66"/>
      <c r="D30" s="38"/>
      <c r="E30" s="39"/>
      <c r="F30" s="38"/>
      <c r="G30" s="39"/>
      <c r="H30" s="38"/>
      <c r="I30" s="39"/>
      <c r="J30" s="69"/>
      <c r="K30" s="69"/>
      <c r="L30" s="69"/>
      <c r="M30" s="69"/>
      <c r="N30" s="69"/>
      <c r="O30" s="41"/>
      <c r="P30" s="41"/>
      <c r="Q30" s="38"/>
      <c r="R30" s="39"/>
      <c r="S30" s="41"/>
      <c r="T30" s="41"/>
      <c r="U30" s="38"/>
      <c r="V30" s="39"/>
      <c r="W30" s="38"/>
      <c r="X30" s="39"/>
      <c r="Y30" s="41"/>
      <c r="Z30" s="41"/>
      <c r="AA30" s="41"/>
      <c r="AB30" s="41"/>
      <c r="AC30" s="41"/>
      <c r="AD30" s="41"/>
      <c r="AE30" s="67"/>
      <c r="AF30" s="39"/>
      <c r="AG30" s="69"/>
      <c r="AH30" s="69"/>
      <c r="AI30" s="69"/>
      <c r="AJ30" s="38"/>
      <c r="AK30" s="39"/>
      <c r="AL30" s="38"/>
      <c r="AM30" s="39"/>
      <c r="AN30" s="67"/>
      <c r="AO30" s="39"/>
      <c r="AP30" s="69"/>
      <c r="AQ30" s="67"/>
      <c r="AR30" s="39"/>
      <c r="AS30" s="69"/>
      <c r="AT30" s="69"/>
      <c r="AU30" s="67"/>
      <c r="AV30" s="39"/>
      <c r="AW30" s="67"/>
      <c r="AX30" s="39"/>
      <c r="AY30" s="68"/>
      <c r="AZ30" s="39"/>
    </row>
    <row r="31" spans="1:52" x14ac:dyDescent="0.2">
      <c r="A31" s="124">
        <v>1204</v>
      </c>
      <c r="B31" s="125" t="s">
        <v>96</v>
      </c>
      <c r="C31" s="126">
        <v>30</v>
      </c>
      <c r="D31" s="48">
        <f t="shared" ref="D31:D64" si="53">ROUND(E31*C31,1)</f>
        <v>1684.5</v>
      </c>
      <c r="E31" s="47">
        <f>RCF!C$43</f>
        <v>56.150171999999998</v>
      </c>
      <c r="F31" s="48">
        <f t="shared" ref="F31:F64" si="54">ROUNDDOWN($C31*G31,1)</f>
        <v>454.6</v>
      </c>
      <c r="G31" s="116">
        <f>RCF!C$5</f>
        <v>15.154999999999999</v>
      </c>
      <c r="H31" s="48">
        <f t="shared" ref="H31:H64" si="55">ROUND(I31*C31,1)</f>
        <v>454.7</v>
      </c>
      <c r="I31" s="116">
        <f t="shared" ref="I31:I64" si="56">G31</f>
        <v>15.154999999999999</v>
      </c>
      <c r="J31" s="52">
        <f t="shared" ref="J31:P40" si="57">ROUND($C31*$I31*J$6,1)</f>
        <v>500.1</v>
      </c>
      <c r="K31" s="52">
        <f t="shared" si="57"/>
        <v>622.9</v>
      </c>
      <c r="L31" s="52">
        <f t="shared" si="57"/>
        <v>668.3</v>
      </c>
      <c r="M31" s="52">
        <f t="shared" si="57"/>
        <v>736.5</v>
      </c>
      <c r="N31" s="52">
        <f t="shared" si="57"/>
        <v>909.3</v>
      </c>
      <c r="O31" s="52">
        <f t="shared" si="57"/>
        <v>977.5</v>
      </c>
      <c r="P31" s="52">
        <f t="shared" si="57"/>
        <v>1364</v>
      </c>
      <c r="Q31" s="48">
        <f t="shared" ref="Q31:Q64" si="58">ROUNDDOWN($C31*R31,1)</f>
        <v>447.3</v>
      </c>
      <c r="R31" s="116">
        <f>RCF!C$7</f>
        <v>14.91</v>
      </c>
      <c r="S31" s="52">
        <f t="shared" ref="S31:T50" si="59">ROUNDDOWN($Q31*S$6,1)</f>
        <v>581.4</v>
      </c>
      <c r="T31" s="52">
        <f t="shared" si="59"/>
        <v>670.9</v>
      </c>
      <c r="U31" s="48">
        <f t="shared" ref="U31:U64" si="60">ROUNDDOWN($C31*V31,1)</f>
        <v>417.3</v>
      </c>
      <c r="V31" s="116">
        <f>RCF!S$54</f>
        <v>13.913</v>
      </c>
      <c r="W31" s="48">
        <f t="shared" ref="W31:W64" si="61">ROUNDDOWN($C31*X31,1)</f>
        <v>444.6</v>
      </c>
      <c r="X31" s="116">
        <f>RCF!S$56</f>
        <v>14.82</v>
      </c>
      <c r="Y31" s="52">
        <f t="shared" ref="Y31:Y64" si="62">ROUNDDOWN($W31*Y$6,1)</f>
        <v>489</v>
      </c>
      <c r="Z31" s="52">
        <f t="shared" ref="Z31:AD40" si="63">ROUND($C31*$X31*Z$6,1)</f>
        <v>609.1</v>
      </c>
      <c r="AA31" s="52">
        <f t="shared" si="63"/>
        <v>720.3</v>
      </c>
      <c r="AB31" s="52">
        <f t="shared" si="63"/>
        <v>653.6</v>
      </c>
      <c r="AC31" s="52">
        <f t="shared" si="63"/>
        <v>964.8</v>
      </c>
      <c r="AD31" s="52">
        <f t="shared" si="63"/>
        <v>1333.8</v>
      </c>
      <c r="AE31" s="48">
        <f t="shared" ref="AE31:AE64" si="64">ROUNDDOWN($C31*AF31,1)</f>
        <v>448.2</v>
      </c>
      <c r="AF31" s="116">
        <f>RCF!C$13</f>
        <v>14.94</v>
      </c>
      <c r="AG31" s="52">
        <f t="shared" ref="AG31:AI50" si="65">ROUND($AE31*AG$6,1)</f>
        <v>739.5</v>
      </c>
      <c r="AH31" s="52">
        <f t="shared" si="65"/>
        <v>941.2</v>
      </c>
      <c r="AI31" s="52">
        <f t="shared" si="65"/>
        <v>1344.6</v>
      </c>
      <c r="AJ31" s="48">
        <f t="shared" ref="AJ31:AJ64" si="66">ROUNDDOWN($C31*AK31,1)</f>
        <v>447.2</v>
      </c>
      <c r="AK31" s="116">
        <f>RCF!C$25</f>
        <v>14.907142857142857</v>
      </c>
      <c r="AL31" s="48">
        <f t="shared" ref="AL31:AL64" si="67">ROUNDDOWN($C31*AM31,1)</f>
        <v>458.5</v>
      </c>
      <c r="AM31" s="116">
        <f>RCF!C$29</f>
        <v>15.285714285714286</v>
      </c>
      <c r="AN31" s="48">
        <f t="shared" ref="AN31:AN64" si="68">ROUNDDOWN($C31*AO31,1)</f>
        <v>474.8</v>
      </c>
      <c r="AO31" s="116">
        <f>RCF!C$33</f>
        <v>15.827999999999999</v>
      </c>
      <c r="AP31" s="52">
        <f t="shared" ref="AP31:AP64" si="69">ROUNDDOWN($AN31*AP$6,1)</f>
        <v>712.2</v>
      </c>
      <c r="AQ31" s="48">
        <f t="shared" ref="AQ31:AQ64" si="70">ROUNDDOWN($C31*AR31,1)</f>
        <v>473.1</v>
      </c>
      <c r="AR31" s="116">
        <f>RCF!C$35</f>
        <v>15.77</v>
      </c>
      <c r="AS31" s="52">
        <f t="shared" ref="AS31:AT50" si="71">ROUNDDOWN($AQ31*AS$6,1)</f>
        <v>615</v>
      </c>
      <c r="AT31" s="52">
        <f t="shared" si="71"/>
        <v>685.9</v>
      </c>
      <c r="AU31" s="48">
        <f t="shared" ref="AU31:AU64" si="72">ROUNDDOWN($C31*AV31,1)</f>
        <v>468.2</v>
      </c>
      <c r="AV31" s="116">
        <f>RCF!C$37</f>
        <v>15.607142857142858</v>
      </c>
      <c r="AW31" s="48">
        <f t="shared" ref="AW31:AW64" si="73">ROUNDDOWN($C31*AX31,1)</f>
        <v>476.1</v>
      </c>
      <c r="AX31" s="116">
        <f>RCF!C$39</f>
        <v>15.872999999999999</v>
      </c>
      <c r="AY31" s="48">
        <f t="shared" ref="AY31:AY64" si="74">ROUNDDOWN($C31*AZ31,1)</f>
        <v>459.6</v>
      </c>
      <c r="AZ31" s="116">
        <f>RCF!C$41</f>
        <v>15.32</v>
      </c>
    </row>
    <row r="32" spans="1:52" x14ac:dyDescent="0.2">
      <c r="A32" s="124">
        <v>1205</v>
      </c>
      <c r="B32" s="125" t="s">
        <v>97</v>
      </c>
      <c r="C32" s="126">
        <v>100</v>
      </c>
      <c r="D32" s="48">
        <f t="shared" si="53"/>
        <v>5615</v>
      </c>
      <c r="E32" s="47">
        <f>RCF!C$43</f>
        <v>56.150171999999998</v>
      </c>
      <c r="F32" s="48">
        <f t="shared" si="54"/>
        <v>1515.5</v>
      </c>
      <c r="G32" s="116">
        <f>RCF!C$5</f>
        <v>15.154999999999999</v>
      </c>
      <c r="H32" s="48">
        <f t="shared" si="55"/>
        <v>1515.5</v>
      </c>
      <c r="I32" s="116">
        <f t="shared" si="56"/>
        <v>15.154999999999999</v>
      </c>
      <c r="J32" s="52">
        <f t="shared" si="57"/>
        <v>1667.1</v>
      </c>
      <c r="K32" s="52">
        <f t="shared" si="57"/>
        <v>2076.1999999999998</v>
      </c>
      <c r="L32" s="52">
        <f t="shared" si="57"/>
        <v>2227.8000000000002</v>
      </c>
      <c r="M32" s="52">
        <f t="shared" si="57"/>
        <v>2455.1</v>
      </c>
      <c r="N32" s="52">
        <f t="shared" si="57"/>
        <v>3031</v>
      </c>
      <c r="O32" s="52">
        <f t="shared" si="57"/>
        <v>3258.3</v>
      </c>
      <c r="P32" s="52">
        <f t="shared" si="57"/>
        <v>4546.5</v>
      </c>
      <c r="Q32" s="48">
        <f t="shared" si="58"/>
        <v>1491</v>
      </c>
      <c r="R32" s="116">
        <f>RCF!C$7</f>
        <v>14.91</v>
      </c>
      <c r="S32" s="52">
        <f t="shared" si="59"/>
        <v>1938.3</v>
      </c>
      <c r="T32" s="52">
        <f t="shared" si="59"/>
        <v>2236.5</v>
      </c>
      <c r="U32" s="48">
        <f t="shared" si="60"/>
        <v>1391.3</v>
      </c>
      <c r="V32" s="116">
        <f>RCF!S$54</f>
        <v>13.913</v>
      </c>
      <c r="W32" s="48">
        <f t="shared" si="61"/>
        <v>1482</v>
      </c>
      <c r="X32" s="116">
        <f>RCF!S$56</f>
        <v>14.82</v>
      </c>
      <c r="Y32" s="52">
        <f t="shared" si="62"/>
        <v>1630.2</v>
      </c>
      <c r="Z32" s="52">
        <f t="shared" si="63"/>
        <v>2030.3</v>
      </c>
      <c r="AA32" s="52">
        <f t="shared" si="63"/>
        <v>2400.8000000000002</v>
      </c>
      <c r="AB32" s="52">
        <f t="shared" si="63"/>
        <v>2178.5</v>
      </c>
      <c r="AC32" s="52">
        <f t="shared" si="63"/>
        <v>3215.9</v>
      </c>
      <c r="AD32" s="52">
        <f t="shared" si="63"/>
        <v>4446</v>
      </c>
      <c r="AE32" s="48">
        <f t="shared" si="64"/>
        <v>1494</v>
      </c>
      <c r="AF32" s="116">
        <f>RCF!C$13</f>
        <v>14.94</v>
      </c>
      <c r="AG32" s="52">
        <f t="shared" si="65"/>
        <v>2465.1</v>
      </c>
      <c r="AH32" s="52">
        <f t="shared" si="65"/>
        <v>3137.4</v>
      </c>
      <c r="AI32" s="52">
        <f t="shared" si="65"/>
        <v>4482</v>
      </c>
      <c r="AJ32" s="48">
        <f t="shared" si="66"/>
        <v>1490.7</v>
      </c>
      <c r="AK32" s="116">
        <f>RCF!C$25</f>
        <v>14.907142857142857</v>
      </c>
      <c r="AL32" s="48">
        <f t="shared" si="67"/>
        <v>1528.5</v>
      </c>
      <c r="AM32" s="116">
        <f>RCF!C$29</f>
        <v>15.285714285714286</v>
      </c>
      <c r="AN32" s="48">
        <f t="shared" si="68"/>
        <v>1582.8</v>
      </c>
      <c r="AO32" s="116">
        <f>RCF!C$33</f>
        <v>15.827999999999999</v>
      </c>
      <c r="AP32" s="52">
        <f t="shared" si="69"/>
        <v>2374.1999999999998</v>
      </c>
      <c r="AQ32" s="48">
        <f t="shared" si="70"/>
        <v>1577</v>
      </c>
      <c r="AR32" s="116">
        <f>RCF!C$35</f>
        <v>15.77</v>
      </c>
      <c r="AS32" s="52">
        <f t="shared" si="71"/>
        <v>2050.1</v>
      </c>
      <c r="AT32" s="52">
        <f t="shared" si="71"/>
        <v>2286.6</v>
      </c>
      <c r="AU32" s="48">
        <f t="shared" si="72"/>
        <v>1560.7</v>
      </c>
      <c r="AV32" s="116">
        <f>RCF!C$37</f>
        <v>15.607142857142858</v>
      </c>
      <c r="AW32" s="48">
        <f t="shared" si="73"/>
        <v>1587.3</v>
      </c>
      <c r="AX32" s="116">
        <f>RCF!C$39</f>
        <v>15.872999999999999</v>
      </c>
      <c r="AY32" s="48">
        <f t="shared" si="74"/>
        <v>1532</v>
      </c>
      <c r="AZ32" s="116">
        <f>RCF!C$41</f>
        <v>15.32</v>
      </c>
    </row>
    <row r="33" spans="1:52" x14ac:dyDescent="0.2">
      <c r="A33" s="124">
        <v>1206</v>
      </c>
      <c r="B33" s="125" t="s">
        <v>98</v>
      </c>
      <c r="C33" s="126">
        <v>50</v>
      </c>
      <c r="D33" s="48">
        <f t="shared" si="53"/>
        <v>2807.5</v>
      </c>
      <c r="E33" s="47">
        <f>RCF!C$43</f>
        <v>56.150171999999998</v>
      </c>
      <c r="F33" s="48">
        <f t="shared" si="54"/>
        <v>757.7</v>
      </c>
      <c r="G33" s="116">
        <f>RCF!C$5</f>
        <v>15.154999999999999</v>
      </c>
      <c r="H33" s="48">
        <f t="shared" si="55"/>
        <v>757.8</v>
      </c>
      <c r="I33" s="116">
        <f t="shared" si="56"/>
        <v>15.154999999999999</v>
      </c>
      <c r="J33" s="52">
        <f t="shared" si="57"/>
        <v>833.5</v>
      </c>
      <c r="K33" s="52">
        <f t="shared" si="57"/>
        <v>1038.0999999999999</v>
      </c>
      <c r="L33" s="52">
        <f t="shared" si="57"/>
        <v>1113.9000000000001</v>
      </c>
      <c r="M33" s="52">
        <f t="shared" si="57"/>
        <v>1227.5999999999999</v>
      </c>
      <c r="N33" s="52">
        <f t="shared" si="57"/>
        <v>1515.5</v>
      </c>
      <c r="O33" s="52">
        <f t="shared" si="57"/>
        <v>1629.2</v>
      </c>
      <c r="P33" s="52">
        <f t="shared" si="57"/>
        <v>2273.3000000000002</v>
      </c>
      <c r="Q33" s="48">
        <f t="shared" si="58"/>
        <v>745.5</v>
      </c>
      <c r="R33" s="116">
        <f>RCF!C$7</f>
        <v>14.91</v>
      </c>
      <c r="S33" s="52">
        <f t="shared" si="59"/>
        <v>969.1</v>
      </c>
      <c r="T33" s="52">
        <f t="shared" si="59"/>
        <v>1118.2</v>
      </c>
      <c r="U33" s="48">
        <f t="shared" si="60"/>
        <v>695.6</v>
      </c>
      <c r="V33" s="116">
        <f>RCF!S$54</f>
        <v>13.913</v>
      </c>
      <c r="W33" s="48">
        <f t="shared" si="61"/>
        <v>741</v>
      </c>
      <c r="X33" s="116">
        <f>RCF!S$56</f>
        <v>14.82</v>
      </c>
      <c r="Y33" s="52">
        <f t="shared" si="62"/>
        <v>815.1</v>
      </c>
      <c r="Z33" s="52">
        <f t="shared" si="63"/>
        <v>1015.2</v>
      </c>
      <c r="AA33" s="52">
        <f t="shared" si="63"/>
        <v>1200.4000000000001</v>
      </c>
      <c r="AB33" s="52">
        <f t="shared" si="63"/>
        <v>1089.3</v>
      </c>
      <c r="AC33" s="52">
        <f t="shared" si="63"/>
        <v>1608</v>
      </c>
      <c r="AD33" s="52">
        <f t="shared" si="63"/>
        <v>2223</v>
      </c>
      <c r="AE33" s="48">
        <f t="shared" si="64"/>
        <v>747</v>
      </c>
      <c r="AF33" s="116">
        <f>RCF!C$13</f>
        <v>14.94</v>
      </c>
      <c r="AG33" s="52">
        <f t="shared" si="65"/>
        <v>1232.5999999999999</v>
      </c>
      <c r="AH33" s="52">
        <f t="shared" si="65"/>
        <v>1568.7</v>
      </c>
      <c r="AI33" s="52">
        <f t="shared" si="65"/>
        <v>2241</v>
      </c>
      <c r="AJ33" s="48">
        <f t="shared" si="66"/>
        <v>745.3</v>
      </c>
      <c r="AK33" s="116">
        <f>RCF!C$25</f>
        <v>14.907142857142857</v>
      </c>
      <c r="AL33" s="48">
        <f t="shared" si="67"/>
        <v>764.2</v>
      </c>
      <c r="AM33" s="116">
        <f>RCF!C$29</f>
        <v>15.285714285714286</v>
      </c>
      <c r="AN33" s="48">
        <f t="shared" si="68"/>
        <v>791.4</v>
      </c>
      <c r="AO33" s="116">
        <f>RCF!C$33</f>
        <v>15.827999999999999</v>
      </c>
      <c r="AP33" s="52">
        <f t="shared" si="69"/>
        <v>1187.0999999999999</v>
      </c>
      <c r="AQ33" s="48">
        <f t="shared" si="70"/>
        <v>788.5</v>
      </c>
      <c r="AR33" s="116">
        <f>RCF!C$35</f>
        <v>15.77</v>
      </c>
      <c r="AS33" s="52">
        <f t="shared" si="71"/>
        <v>1025</v>
      </c>
      <c r="AT33" s="52">
        <f t="shared" si="71"/>
        <v>1143.3</v>
      </c>
      <c r="AU33" s="48">
        <f t="shared" si="72"/>
        <v>780.3</v>
      </c>
      <c r="AV33" s="116">
        <f>RCF!C$37</f>
        <v>15.607142857142858</v>
      </c>
      <c r="AW33" s="48">
        <f t="shared" si="73"/>
        <v>793.6</v>
      </c>
      <c r="AX33" s="116">
        <f>RCF!C$39</f>
        <v>15.872999999999999</v>
      </c>
      <c r="AY33" s="48">
        <f t="shared" si="74"/>
        <v>766</v>
      </c>
      <c r="AZ33" s="116">
        <f>RCF!C$41</f>
        <v>15.32</v>
      </c>
    </row>
    <row r="34" spans="1:52" x14ac:dyDescent="0.2">
      <c r="A34" s="124">
        <v>1207</v>
      </c>
      <c r="B34" s="125" t="s">
        <v>99</v>
      </c>
      <c r="C34" s="126">
        <v>30</v>
      </c>
      <c r="D34" s="48">
        <f t="shared" si="53"/>
        <v>1684.5</v>
      </c>
      <c r="E34" s="47">
        <f>RCF!C$43</f>
        <v>56.150171999999998</v>
      </c>
      <c r="F34" s="48">
        <f t="shared" si="54"/>
        <v>454.6</v>
      </c>
      <c r="G34" s="116">
        <f>RCF!C$5</f>
        <v>15.154999999999999</v>
      </c>
      <c r="H34" s="48">
        <f t="shared" si="55"/>
        <v>454.7</v>
      </c>
      <c r="I34" s="116">
        <f t="shared" si="56"/>
        <v>15.154999999999999</v>
      </c>
      <c r="J34" s="52">
        <f t="shared" si="57"/>
        <v>500.1</v>
      </c>
      <c r="K34" s="52">
        <f t="shared" si="57"/>
        <v>622.9</v>
      </c>
      <c r="L34" s="52">
        <f t="shared" si="57"/>
        <v>668.3</v>
      </c>
      <c r="M34" s="52">
        <f t="shared" si="57"/>
        <v>736.5</v>
      </c>
      <c r="N34" s="52">
        <f t="shared" si="57"/>
        <v>909.3</v>
      </c>
      <c r="O34" s="52">
        <f t="shared" si="57"/>
        <v>977.5</v>
      </c>
      <c r="P34" s="52">
        <f t="shared" si="57"/>
        <v>1364</v>
      </c>
      <c r="Q34" s="48">
        <f t="shared" si="58"/>
        <v>447.3</v>
      </c>
      <c r="R34" s="116">
        <f>RCF!C$7</f>
        <v>14.91</v>
      </c>
      <c r="S34" s="52">
        <f t="shared" si="59"/>
        <v>581.4</v>
      </c>
      <c r="T34" s="52">
        <f t="shared" si="59"/>
        <v>670.9</v>
      </c>
      <c r="U34" s="48">
        <f t="shared" si="60"/>
        <v>417.3</v>
      </c>
      <c r="V34" s="116">
        <f>RCF!S$54</f>
        <v>13.913</v>
      </c>
      <c r="W34" s="48">
        <f t="shared" si="61"/>
        <v>444.6</v>
      </c>
      <c r="X34" s="116">
        <f>RCF!S$56</f>
        <v>14.82</v>
      </c>
      <c r="Y34" s="52">
        <f t="shared" si="62"/>
        <v>489</v>
      </c>
      <c r="Z34" s="52">
        <f t="shared" si="63"/>
        <v>609.1</v>
      </c>
      <c r="AA34" s="52">
        <f t="shared" si="63"/>
        <v>720.3</v>
      </c>
      <c r="AB34" s="52">
        <f t="shared" si="63"/>
        <v>653.6</v>
      </c>
      <c r="AC34" s="52">
        <f t="shared" si="63"/>
        <v>964.8</v>
      </c>
      <c r="AD34" s="52">
        <f t="shared" si="63"/>
        <v>1333.8</v>
      </c>
      <c r="AE34" s="48">
        <f t="shared" si="64"/>
        <v>448.2</v>
      </c>
      <c r="AF34" s="116">
        <f>RCF!C$13</f>
        <v>14.94</v>
      </c>
      <c r="AG34" s="52">
        <f t="shared" si="65"/>
        <v>739.5</v>
      </c>
      <c r="AH34" s="52">
        <f t="shared" si="65"/>
        <v>941.2</v>
      </c>
      <c r="AI34" s="52">
        <f t="shared" si="65"/>
        <v>1344.6</v>
      </c>
      <c r="AJ34" s="48">
        <f t="shared" si="66"/>
        <v>447.2</v>
      </c>
      <c r="AK34" s="116">
        <f>RCF!C$25</f>
        <v>14.907142857142857</v>
      </c>
      <c r="AL34" s="48">
        <f t="shared" si="67"/>
        <v>458.5</v>
      </c>
      <c r="AM34" s="116">
        <f>RCF!C$29</f>
        <v>15.285714285714286</v>
      </c>
      <c r="AN34" s="48">
        <f t="shared" si="68"/>
        <v>474.8</v>
      </c>
      <c r="AO34" s="116">
        <f>RCF!C$33</f>
        <v>15.827999999999999</v>
      </c>
      <c r="AP34" s="52">
        <f t="shared" si="69"/>
        <v>712.2</v>
      </c>
      <c r="AQ34" s="48">
        <f t="shared" si="70"/>
        <v>473.1</v>
      </c>
      <c r="AR34" s="116">
        <f>RCF!C$35</f>
        <v>15.77</v>
      </c>
      <c r="AS34" s="52">
        <f t="shared" si="71"/>
        <v>615</v>
      </c>
      <c r="AT34" s="52">
        <f t="shared" si="71"/>
        <v>685.9</v>
      </c>
      <c r="AU34" s="48">
        <f t="shared" si="72"/>
        <v>468.2</v>
      </c>
      <c r="AV34" s="116">
        <f>RCF!C$37</f>
        <v>15.607142857142858</v>
      </c>
      <c r="AW34" s="48">
        <f t="shared" si="73"/>
        <v>476.1</v>
      </c>
      <c r="AX34" s="116">
        <f>RCF!C$39</f>
        <v>15.872999999999999</v>
      </c>
      <c r="AY34" s="48">
        <f t="shared" si="74"/>
        <v>459.6</v>
      </c>
      <c r="AZ34" s="116">
        <f>RCF!C$41</f>
        <v>15.32</v>
      </c>
    </row>
    <row r="35" spans="1:52" ht="25.5" x14ac:dyDescent="0.2">
      <c r="A35" s="124">
        <v>1208</v>
      </c>
      <c r="B35" s="125" t="s">
        <v>100</v>
      </c>
      <c r="C35" s="126">
        <v>137</v>
      </c>
      <c r="D35" s="48">
        <f t="shared" si="53"/>
        <v>7692.6</v>
      </c>
      <c r="E35" s="47">
        <f>RCF!C$43</f>
        <v>56.150171999999998</v>
      </c>
      <c r="F35" s="48">
        <f t="shared" si="54"/>
        <v>2076.1999999999998</v>
      </c>
      <c r="G35" s="116">
        <f>RCF!C$5</f>
        <v>15.154999999999999</v>
      </c>
      <c r="H35" s="48">
        <f t="shared" si="55"/>
        <v>2076.1999999999998</v>
      </c>
      <c r="I35" s="116">
        <f t="shared" si="56"/>
        <v>15.154999999999999</v>
      </c>
      <c r="J35" s="52">
        <f t="shared" si="57"/>
        <v>2283.9</v>
      </c>
      <c r="K35" s="52">
        <f t="shared" si="57"/>
        <v>2844.4</v>
      </c>
      <c r="L35" s="52">
        <f t="shared" si="57"/>
        <v>3052.1</v>
      </c>
      <c r="M35" s="52">
        <f t="shared" si="57"/>
        <v>3363.5</v>
      </c>
      <c r="N35" s="52">
        <f t="shared" si="57"/>
        <v>4152.5</v>
      </c>
      <c r="O35" s="52">
        <f t="shared" si="57"/>
        <v>4463.8999999999996</v>
      </c>
      <c r="P35" s="52">
        <f t="shared" si="57"/>
        <v>6228.7</v>
      </c>
      <c r="Q35" s="48">
        <f t="shared" si="58"/>
        <v>2042.6</v>
      </c>
      <c r="R35" s="116">
        <f>RCF!C$7</f>
        <v>14.91</v>
      </c>
      <c r="S35" s="52">
        <f t="shared" si="59"/>
        <v>2655.3</v>
      </c>
      <c r="T35" s="52">
        <f t="shared" si="59"/>
        <v>3063.9</v>
      </c>
      <c r="U35" s="48">
        <f t="shared" si="60"/>
        <v>1906</v>
      </c>
      <c r="V35" s="116">
        <f>RCF!S$54</f>
        <v>13.913</v>
      </c>
      <c r="W35" s="48">
        <f t="shared" si="61"/>
        <v>2030.3</v>
      </c>
      <c r="X35" s="116">
        <f>RCF!S$56</f>
        <v>14.82</v>
      </c>
      <c r="Y35" s="52">
        <f t="shared" si="62"/>
        <v>2233.3000000000002</v>
      </c>
      <c r="Z35" s="52">
        <f t="shared" si="63"/>
        <v>2781.6</v>
      </c>
      <c r="AA35" s="52">
        <f t="shared" si="63"/>
        <v>3289.2</v>
      </c>
      <c r="AB35" s="52">
        <f t="shared" si="63"/>
        <v>2984.6</v>
      </c>
      <c r="AC35" s="52">
        <f t="shared" si="63"/>
        <v>4405.8</v>
      </c>
      <c r="AD35" s="52">
        <f t="shared" si="63"/>
        <v>6091</v>
      </c>
      <c r="AE35" s="48">
        <f t="shared" si="64"/>
        <v>2046.7</v>
      </c>
      <c r="AF35" s="116">
        <f>RCF!C$13</f>
        <v>14.94</v>
      </c>
      <c r="AG35" s="52">
        <f t="shared" si="65"/>
        <v>3377.1</v>
      </c>
      <c r="AH35" s="52">
        <f t="shared" si="65"/>
        <v>4298.1000000000004</v>
      </c>
      <c r="AI35" s="52">
        <f t="shared" si="65"/>
        <v>6140.1</v>
      </c>
      <c r="AJ35" s="48">
        <f t="shared" si="66"/>
        <v>2042.2</v>
      </c>
      <c r="AK35" s="116">
        <f>RCF!C$25</f>
        <v>14.907142857142857</v>
      </c>
      <c r="AL35" s="48">
        <f t="shared" si="67"/>
        <v>2094.1</v>
      </c>
      <c r="AM35" s="116">
        <f>RCF!C$29</f>
        <v>15.285714285714286</v>
      </c>
      <c r="AN35" s="48">
        <f t="shared" si="68"/>
        <v>2168.4</v>
      </c>
      <c r="AO35" s="116">
        <f>RCF!C$33</f>
        <v>15.827999999999999</v>
      </c>
      <c r="AP35" s="52">
        <f t="shared" si="69"/>
        <v>3252.6</v>
      </c>
      <c r="AQ35" s="48">
        <f t="shared" si="70"/>
        <v>2160.4</v>
      </c>
      <c r="AR35" s="116">
        <f>RCF!C$35</f>
        <v>15.77</v>
      </c>
      <c r="AS35" s="52">
        <f t="shared" si="71"/>
        <v>2808.5</v>
      </c>
      <c r="AT35" s="52">
        <f t="shared" si="71"/>
        <v>3132.5</v>
      </c>
      <c r="AU35" s="48">
        <f t="shared" si="72"/>
        <v>2138.1</v>
      </c>
      <c r="AV35" s="116">
        <f>RCF!C$37</f>
        <v>15.607142857142858</v>
      </c>
      <c r="AW35" s="48">
        <f t="shared" si="73"/>
        <v>2174.6</v>
      </c>
      <c r="AX35" s="116">
        <f>RCF!C$39</f>
        <v>15.872999999999999</v>
      </c>
      <c r="AY35" s="48">
        <f t="shared" si="74"/>
        <v>2098.8000000000002</v>
      </c>
      <c r="AZ35" s="116">
        <f>RCF!C$41</f>
        <v>15.32</v>
      </c>
    </row>
    <row r="36" spans="1:52" x14ac:dyDescent="0.2">
      <c r="A36" s="124">
        <v>1209</v>
      </c>
      <c r="B36" s="125" t="s">
        <v>101</v>
      </c>
      <c r="C36" s="126">
        <v>58</v>
      </c>
      <c r="D36" s="48">
        <f t="shared" si="53"/>
        <v>3256.7</v>
      </c>
      <c r="E36" s="47">
        <f>RCF!C$43</f>
        <v>56.150171999999998</v>
      </c>
      <c r="F36" s="48">
        <f t="shared" si="54"/>
        <v>878.9</v>
      </c>
      <c r="G36" s="116">
        <f>RCF!C$5</f>
        <v>15.154999999999999</v>
      </c>
      <c r="H36" s="48">
        <f t="shared" si="55"/>
        <v>879</v>
      </c>
      <c r="I36" s="116">
        <f t="shared" si="56"/>
        <v>15.154999999999999</v>
      </c>
      <c r="J36" s="52">
        <f t="shared" si="57"/>
        <v>966.9</v>
      </c>
      <c r="K36" s="52">
        <f t="shared" si="57"/>
        <v>1204.2</v>
      </c>
      <c r="L36" s="52">
        <f t="shared" si="57"/>
        <v>1292.0999999999999</v>
      </c>
      <c r="M36" s="52">
        <f t="shared" si="57"/>
        <v>1424</v>
      </c>
      <c r="N36" s="52">
        <f t="shared" si="57"/>
        <v>1758</v>
      </c>
      <c r="O36" s="52">
        <f t="shared" si="57"/>
        <v>1889.8</v>
      </c>
      <c r="P36" s="52">
        <f t="shared" si="57"/>
        <v>2637</v>
      </c>
      <c r="Q36" s="48">
        <f t="shared" si="58"/>
        <v>864.7</v>
      </c>
      <c r="R36" s="116">
        <f>RCF!C$7</f>
        <v>14.91</v>
      </c>
      <c r="S36" s="52">
        <f t="shared" si="59"/>
        <v>1124.0999999999999</v>
      </c>
      <c r="T36" s="52">
        <f t="shared" si="59"/>
        <v>1297</v>
      </c>
      <c r="U36" s="48">
        <f t="shared" si="60"/>
        <v>806.9</v>
      </c>
      <c r="V36" s="116">
        <f>RCF!S$54</f>
        <v>13.913</v>
      </c>
      <c r="W36" s="48">
        <f t="shared" si="61"/>
        <v>859.5</v>
      </c>
      <c r="X36" s="116">
        <f>RCF!S$56</f>
        <v>14.82</v>
      </c>
      <c r="Y36" s="52">
        <f t="shared" si="62"/>
        <v>945.4</v>
      </c>
      <c r="Z36" s="52">
        <f t="shared" si="63"/>
        <v>1177.5999999999999</v>
      </c>
      <c r="AA36" s="52">
        <f t="shared" si="63"/>
        <v>1392.5</v>
      </c>
      <c r="AB36" s="52">
        <f t="shared" si="63"/>
        <v>1263.5999999999999</v>
      </c>
      <c r="AC36" s="52">
        <f t="shared" si="63"/>
        <v>1865.2</v>
      </c>
      <c r="AD36" s="52">
        <f t="shared" si="63"/>
        <v>2578.6999999999998</v>
      </c>
      <c r="AE36" s="48">
        <f t="shared" si="64"/>
        <v>866.5</v>
      </c>
      <c r="AF36" s="116">
        <f>RCF!C$13</f>
        <v>14.94</v>
      </c>
      <c r="AG36" s="52">
        <f t="shared" si="65"/>
        <v>1429.7</v>
      </c>
      <c r="AH36" s="52">
        <f t="shared" si="65"/>
        <v>1819.7</v>
      </c>
      <c r="AI36" s="52">
        <f t="shared" si="65"/>
        <v>2599.5</v>
      </c>
      <c r="AJ36" s="48">
        <f t="shared" si="66"/>
        <v>864.6</v>
      </c>
      <c r="AK36" s="116">
        <f>RCF!C$25</f>
        <v>14.907142857142857</v>
      </c>
      <c r="AL36" s="48">
        <f t="shared" si="67"/>
        <v>886.5</v>
      </c>
      <c r="AM36" s="116">
        <f>RCF!C$29</f>
        <v>15.285714285714286</v>
      </c>
      <c r="AN36" s="48">
        <f t="shared" si="68"/>
        <v>918</v>
      </c>
      <c r="AO36" s="116">
        <f>RCF!C$33</f>
        <v>15.827999999999999</v>
      </c>
      <c r="AP36" s="52">
        <f t="shared" si="69"/>
        <v>1377</v>
      </c>
      <c r="AQ36" s="48">
        <f t="shared" si="70"/>
        <v>914.6</v>
      </c>
      <c r="AR36" s="116">
        <f>RCF!C$35</f>
        <v>15.77</v>
      </c>
      <c r="AS36" s="52">
        <f t="shared" si="71"/>
        <v>1188.9000000000001</v>
      </c>
      <c r="AT36" s="52">
        <f t="shared" si="71"/>
        <v>1326.1</v>
      </c>
      <c r="AU36" s="48">
        <f t="shared" si="72"/>
        <v>905.2</v>
      </c>
      <c r="AV36" s="116">
        <f>RCF!C$37</f>
        <v>15.607142857142858</v>
      </c>
      <c r="AW36" s="48">
        <f t="shared" si="73"/>
        <v>920.6</v>
      </c>
      <c r="AX36" s="116">
        <f>RCF!C$39</f>
        <v>15.872999999999999</v>
      </c>
      <c r="AY36" s="48">
        <f t="shared" si="74"/>
        <v>888.5</v>
      </c>
      <c r="AZ36" s="116">
        <f>RCF!C$41</f>
        <v>15.32</v>
      </c>
    </row>
    <row r="37" spans="1:52" ht="25.5" x14ac:dyDescent="0.2">
      <c r="A37" s="124">
        <v>1210</v>
      </c>
      <c r="B37" s="125" t="s">
        <v>102</v>
      </c>
      <c r="C37" s="126">
        <v>50</v>
      </c>
      <c r="D37" s="48">
        <f t="shared" si="53"/>
        <v>2807.5</v>
      </c>
      <c r="E37" s="47">
        <f>RCF!C$43</f>
        <v>56.150171999999998</v>
      </c>
      <c r="F37" s="48">
        <f t="shared" si="54"/>
        <v>757.7</v>
      </c>
      <c r="G37" s="116">
        <f>RCF!C$5</f>
        <v>15.154999999999999</v>
      </c>
      <c r="H37" s="48">
        <f t="shared" si="55"/>
        <v>757.8</v>
      </c>
      <c r="I37" s="116">
        <f t="shared" si="56"/>
        <v>15.154999999999999</v>
      </c>
      <c r="J37" s="52">
        <f t="shared" si="57"/>
        <v>833.5</v>
      </c>
      <c r="K37" s="52">
        <f t="shared" si="57"/>
        <v>1038.0999999999999</v>
      </c>
      <c r="L37" s="52">
        <f t="shared" si="57"/>
        <v>1113.9000000000001</v>
      </c>
      <c r="M37" s="52">
        <f t="shared" si="57"/>
        <v>1227.5999999999999</v>
      </c>
      <c r="N37" s="52">
        <f t="shared" si="57"/>
        <v>1515.5</v>
      </c>
      <c r="O37" s="52">
        <f t="shared" si="57"/>
        <v>1629.2</v>
      </c>
      <c r="P37" s="52">
        <f t="shared" si="57"/>
        <v>2273.3000000000002</v>
      </c>
      <c r="Q37" s="48">
        <f t="shared" si="58"/>
        <v>745.5</v>
      </c>
      <c r="R37" s="116">
        <f>RCF!C$7</f>
        <v>14.91</v>
      </c>
      <c r="S37" s="52">
        <f t="shared" si="59"/>
        <v>969.1</v>
      </c>
      <c r="T37" s="52">
        <f t="shared" si="59"/>
        <v>1118.2</v>
      </c>
      <c r="U37" s="48">
        <f t="shared" si="60"/>
        <v>695.6</v>
      </c>
      <c r="V37" s="116">
        <f>RCF!S$54</f>
        <v>13.913</v>
      </c>
      <c r="W37" s="48">
        <f t="shared" si="61"/>
        <v>741</v>
      </c>
      <c r="X37" s="116">
        <f>RCF!S$56</f>
        <v>14.82</v>
      </c>
      <c r="Y37" s="52">
        <f t="shared" si="62"/>
        <v>815.1</v>
      </c>
      <c r="Z37" s="52">
        <f t="shared" si="63"/>
        <v>1015.2</v>
      </c>
      <c r="AA37" s="52">
        <f t="shared" si="63"/>
        <v>1200.4000000000001</v>
      </c>
      <c r="AB37" s="52">
        <f t="shared" si="63"/>
        <v>1089.3</v>
      </c>
      <c r="AC37" s="52">
        <f t="shared" si="63"/>
        <v>1608</v>
      </c>
      <c r="AD37" s="52">
        <f t="shared" si="63"/>
        <v>2223</v>
      </c>
      <c r="AE37" s="48">
        <f t="shared" si="64"/>
        <v>747</v>
      </c>
      <c r="AF37" s="116">
        <f>RCF!C$13</f>
        <v>14.94</v>
      </c>
      <c r="AG37" s="52">
        <f t="shared" si="65"/>
        <v>1232.5999999999999</v>
      </c>
      <c r="AH37" s="52">
        <f t="shared" si="65"/>
        <v>1568.7</v>
      </c>
      <c r="AI37" s="52">
        <f t="shared" si="65"/>
        <v>2241</v>
      </c>
      <c r="AJ37" s="48">
        <f t="shared" si="66"/>
        <v>745.3</v>
      </c>
      <c r="AK37" s="116">
        <f>RCF!C$25</f>
        <v>14.907142857142857</v>
      </c>
      <c r="AL37" s="48">
        <f t="shared" si="67"/>
        <v>764.2</v>
      </c>
      <c r="AM37" s="116">
        <f>RCF!C$29</f>
        <v>15.285714285714286</v>
      </c>
      <c r="AN37" s="48">
        <f t="shared" si="68"/>
        <v>791.4</v>
      </c>
      <c r="AO37" s="116">
        <f>RCF!C$33</f>
        <v>15.827999999999999</v>
      </c>
      <c r="AP37" s="52">
        <f t="shared" si="69"/>
        <v>1187.0999999999999</v>
      </c>
      <c r="AQ37" s="48">
        <f t="shared" si="70"/>
        <v>788.5</v>
      </c>
      <c r="AR37" s="116">
        <f>RCF!C$35</f>
        <v>15.77</v>
      </c>
      <c r="AS37" s="52">
        <f t="shared" si="71"/>
        <v>1025</v>
      </c>
      <c r="AT37" s="52">
        <f t="shared" si="71"/>
        <v>1143.3</v>
      </c>
      <c r="AU37" s="48">
        <f t="shared" si="72"/>
        <v>780.3</v>
      </c>
      <c r="AV37" s="116">
        <f>RCF!C$37</f>
        <v>15.607142857142858</v>
      </c>
      <c r="AW37" s="48">
        <f t="shared" si="73"/>
        <v>793.6</v>
      </c>
      <c r="AX37" s="116">
        <f>RCF!C$39</f>
        <v>15.872999999999999</v>
      </c>
      <c r="AY37" s="48">
        <f t="shared" si="74"/>
        <v>766</v>
      </c>
      <c r="AZ37" s="116">
        <f>RCF!C$41</f>
        <v>15.32</v>
      </c>
    </row>
    <row r="38" spans="1:52" x14ac:dyDescent="0.2">
      <c r="A38" s="73" t="s">
        <v>162</v>
      </c>
      <c r="B38" s="54" t="s">
        <v>39</v>
      </c>
      <c r="C38" s="72">
        <v>9</v>
      </c>
      <c r="D38" s="74">
        <f t="shared" si="53"/>
        <v>137.9</v>
      </c>
      <c r="E38" s="75">
        <f>AZ38</f>
        <v>15.32</v>
      </c>
      <c r="F38" s="48">
        <f t="shared" si="54"/>
        <v>136.30000000000001</v>
      </c>
      <c r="G38" s="116">
        <f>RCF!C$5</f>
        <v>15.154999999999999</v>
      </c>
      <c r="H38" s="48">
        <f t="shared" si="55"/>
        <v>136.4</v>
      </c>
      <c r="I38" s="116">
        <f t="shared" si="56"/>
        <v>15.154999999999999</v>
      </c>
      <c r="J38" s="52">
        <f t="shared" si="57"/>
        <v>150</v>
      </c>
      <c r="K38" s="52">
        <f t="shared" si="57"/>
        <v>186.9</v>
      </c>
      <c r="L38" s="52">
        <f t="shared" si="57"/>
        <v>200.5</v>
      </c>
      <c r="M38" s="52">
        <f t="shared" si="57"/>
        <v>221</v>
      </c>
      <c r="N38" s="52">
        <f t="shared" si="57"/>
        <v>272.8</v>
      </c>
      <c r="O38" s="52">
        <f t="shared" si="57"/>
        <v>293.2</v>
      </c>
      <c r="P38" s="52">
        <f t="shared" si="57"/>
        <v>409.2</v>
      </c>
      <c r="Q38" s="48">
        <f t="shared" si="58"/>
        <v>134.1</v>
      </c>
      <c r="R38" s="116">
        <f>RCF!C$7</f>
        <v>14.91</v>
      </c>
      <c r="S38" s="52">
        <f t="shared" si="59"/>
        <v>174.3</v>
      </c>
      <c r="T38" s="52">
        <f t="shared" si="59"/>
        <v>201.1</v>
      </c>
      <c r="U38" s="48">
        <f t="shared" si="60"/>
        <v>132.1</v>
      </c>
      <c r="V38" s="116">
        <f>RCF!C$9</f>
        <v>14.686999999999999</v>
      </c>
      <c r="W38" s="48">
        <f t="shared" si="61"/>
        <v>132.1</v>
      </c>
      <c r="X38" s="116">
        <f>RCF!C$9</f>
        <v>14.686999999999999</v>
      </c>
      <c r="Y38" s="52">
        <f t="shared" si="62"/>
        <v>145.30000000000001</v>
      </c>
      <c r="Z38" s="52">
        <f t="shared" si="63"/>
        <v>181.1</v>
      </c>
      <c r="AA38" s="52">
        <f t="shared" si="63"/>
        <v>214.1</v>
      </c>
      <c r="AB38" s="52">
        <f t="shared" si="63"/>
        <v>194.3</v>
      </c>
      <c r="AC38" s="52">
        <f t="shared" si="63"/>
        <v>286.8</v>
      </c>
      <c r="AD38" s="52">
        <f t="shared" si="63"/>
        <v>396.5</v>
      </c>
      <c r="AE38" s="48">
        <f t="shared" si="64"/>
        <v>134.4</v>
      </c>
      <c r="AF38" s="116">
        <f>RCF!C$13</f>
        <v>14.94</v>
      </c>
      <c r="AG38" s="52">
        <f t="shared" si="65"/>
        <v>221.8</v>
      </c>
      <c r="AH38" s="52">
        <f t="shared" si="65"/>
        <v>282.2</v>
      </c>
      <c r="AI38" s="52">
        <f t="shared" si="65"/>
        <v>403.2</v>
      </c>
      <c r="AJ38" s="48">
        <f t="shared" si="66"/>
        <v>134.1</v>
      </c>
      <c r="AK38" s="116">
        <f>RCF!C$25</f>
        <v>14.907142857142857</v>
      </c>
      <c r="AL38" s="48">
        <f t="shared" si="67"/>
        <v>137.5</v>
      </c>
      <c r="AM38" s="116">
        <f>RCF!C$29</f>
        <v>15.285714285714286</v>
      </c>
      <c r="AN38" s="48">
        <f t="shared" si="68"/>
        <v>142.4</v>
      </c>
      <c r="AO38" s="116">
        <f>RCF!C$33</f>
        <v>15.827999999999999</v>
      </c>
      <c r="AP38" s="52">
        <f t="shared" si="69"/>
        <v>213.6</v>
      </c>
      <c r="AQ38" s="48">
        <f t="shared" si="70"/>
        <v>141.9</v>
      </c>
      <c r="AR38" s="116">
        <f>RCF!C$35</f>
        <v>15.77</v>
      </c>
      <c r="AS38" s="52">
        <f t="shared" si="71"/>
        <v>184.4</v>
      </c>
      <c r="AT38" s="52">
        <f t="shared" si="71"/>
        <v>205.7</v>
      </c>
      <c r="AU38" s="48">
        <f t="shared" si="72"/>
        <v>140.4</v>
      </c>
      <c r="AV38" s="116">
        <f>RCF!C$37</f>
        <v>15.607142857142858</v>
      </c>
      <c r="AW38" s="48">
        <f t="shared" si="73"/>
        <v>142.80000000000001</v>
      </c>
      <c r="AX38" s="116">
        <f>RCF!C$39</f>
        <v>15.872999999999999</v>
      </c>
      <c r="AY38" s="48">
        <f t="shared" si="74"/>
        <v>137.80000000000001</v>
      </c>
      <c r="AZ38" s="116">
        <f>RCF!C$41</f>
        <v>15.32</v>
      </c>
    </row>
    <row r="39" spans="1:52" x14ac:dyDescent="0.2">
      <c r="A39" s="73" t="s">
        <v>163</v>
      </c>
      <c r="B39" s="54" t="s">
        <v>46</v>
      </c>
      <c r="C39" s="72">
        <v>60</v>
      </c>
      <c r="D39" s="74">
        <f t="shared" si="53"/>
        <v>919.2</v>
      </c>
      <c r="E39" s="75">
        <f>AZ39</f>
        <v>15.32</v>
      </c>
      <c r="F39" s="48">
        <f t="shared" si="54"/>
        <v>909.3</v>
      </c>
      <c r="G39" s="116">
        <f>RCF!C$5</f>
        <v>15.154999999999999</v>
      </c>
      <c r="H39" s="48">
        <f t="shared" si="55"/>
        <v>909.3</v>
      </c>
      <c r="I39" s="116">
        <f t="shared" si="56"/>
        <v>15.154999999999999</v>
      </c>
      <c r="J39" s="52">
        <f t="shared" si="57"/>
        <v>1000.2</v>
      </c>
      <c r="K39" s="52">
        <f t="shared" si="57"/>
        <v>1245.7</v>
      </c>
      <c r="L39" s="52">
        <f t="shared" si="57"/>
        <v>1336.7</v>
      </c>
      <c r="M39" s="52">
        <f t="shared" si="57"/>
        <v>1473.1</v>
      </c>
      <c r="N39" s="52">
        <f t="shared" si="57"/>
        <v>1818.6</v>
      </c>
      <c r="O39" s="52">
        <f t="shared" si="57"/>
        <v>1955</v>
      </c>
      <c r="P39" s="52">
        <f t="shared" si="57"/>
        <v>2727.9</v>
      </c>
      <c r="Q39" s="48">
        <f t="shared" si="58"/>
        <v>894.6</v>
      </c>
      <c r="R39" s="116">
        <f>RCF!C$7</f>
        <v>14.91</v>
      </c>
      <c r="S39" s="52">
        <f t="shared" si="59"/>
        <v>1162.9000000000001</v>
      </c>
      <c r="T39" s="52">
        <f t="shared" si="59"/>
        <v>1341.9</v>
      </c>
      <c r="U39" s="48">
        <f t="shared" si="60"/>
        <v>881.2</v>
      </c>
      <c r="V39" s="116">
        <f>RCF!C$9</f>
        <v>14.686999999999999</v>
      </c>
      <c r="W39" s="48">
        <f t="shared" si="61"/>
        <v>881.2</v>
      </c>
      <c r="X39" s="116">
        <f>RCF!C$9</f>
        <v>14.686999999999999</v>
      </c>
      <c r="Y39" s="52">
        <f t="shared" si="62"/>
        <v>969.3</v>
      </c>
      <c r="Z39" s="52">
        <f t="shared" si="63"/>
        <v>1207.3</v>
      </c>
      <c r="AA39" s="52">
        <f t="shared" si="63"/>
        <v>1427.6</v>
      </c>
      <c r="AB39" s="52">
        <f t="shared" si="63"/>
        <v>1295.4000000000001</v>
      </c>
      <c r="AC39" s="52">
        <f t="shared" si="63"/>
        <v>1912.2</v>
      </c>
      <c r="AD39" s="52">
        <f t="shared" si="63"/>
        <v>2643.7</v>
      </c>
      <c r="AE39" s="48">
        <f t="shared" si="64"/>
        <v>896.4</v>
      </c>
      <c r="AF39" s="116">
        <f>RCF!C$13</f>
        <v>14.94</v>
      </c>
      <c r="AG39" s="52">
        <f t="shared" si="65"/>
        <v>1479.1</v>
      </c>
      <c r="AH39" s="52">
        <f t="shared" si="65"/>
        <v>1882.4</v>
      </c>
      <c r="AI39" s="52">
        <f t="shared" si="65"/>
        <v>2689.2</v>
      </c>
      <c r="AJ39" s="48">
        <f t="shared" si="66"/>
        <v>894.4</v>
      </c>
      <c r="AK39" s="116">
        <f>RCF!C$25</f>
        <v>14.907142857142857</v>
      </c>
      <c r="AL39" s="48">
        <f t="shared" si="67"/>
        <v>917.1</v>
      </c>
      <c r="AM39" s="116">
        <f>RCF!C$29</f>
        <v>15.285714285714286</v>
      </c>
      <c r="AN39" s="48">
        <f t="shared" si="68"/>
        <v>949.6</v>
      </c>
      <c r="AO39" s="116">
        <f>RCF!C$33</f>
        <v>15.827999999999999</v>
      </c>
      <c r="AP39" s="52">
        <f t="shared" si="69"/>
        <v>1424.4</v>
      </c>
      <c r="AQ39" s="48">
        <f t="shared" si="70"/>
        <v>946.2</v>
      </c>
      <c r="AR39" s="116">
        <f>RCF!C$35</f>
        <v>15.77</v>
      </c>
      <c r="AS39" s="52">
        <f t="shared" si="71"/>
        <v>1230</v>
      </c>
      <c r="AT39" s="52">
        <f t="shared" si="71"/>
        <v>1371.9</v>
      </c>
      <c r="AU39" s="48">
        <f t="shared" si="72"/>
        <v>936.4</v>
      </c>
      <c r="AV39" s="116">
        <f>RCF!C$37</f>
        <v>15.607142857142858</v>
      </c>
      <c r="AW39" s="48">
        <f t="shared" si="73"/>
        <v>952.3</v>
      </c>
      <c r="AX39" s="116">
        <f>RCF!C$39</f>
        <v>15.872999999999999</v>
      </c>
      <c r="AY39" s="48">
        <f t="shared" si="74"/>
        <v>919.2</v>
      </c>
      <c r="AZ39" s="116">
        <f>RCF!C$41</f>
        <v>15.32</v>
      </c>
    </row>
    <row r="40" spans="1:52" x14ac:dyDescent="0.2">
      <c r="A40" s="70">
        <v>1238</v>
      </c>
      <c r="B40" s="54" t="s">
        <v>149</v>
      </c>
      <c r="C40" s="55">
        <v>55</v>
      </c>
      <c r="D40" s="48">
        <f t="shared" si="53"/>
        <v>3088.3</v>
      </c>
      <c r="E40" s="47">
        <f>RCF!C$43</f>
        <v>56.150171999999998</v>
      </c>
      <c r="F40" s="48">
        <f t="shared" si="54"/>
        <v>833.5</v>
      </c>
      <c r="G40" s="116">
        <f>RCF!C$5</f>
        <v>15.154999999999999</v>
      </c>
      <c r="H40" s="48">
        <f t="shared" si="55"/>
        <v>833.5</v>
      </c>
      <c r="I40" s="116">
        <f t="shared" si="56"/>
        <v>15.154999999999999</v>
      </c>
      <c r="J40" s="52">
        <f t="shared" si="57"/>
        <v>916.9</v>
      </c>
      <c r="K40" s="52">
        <f t="shared" si="57"/>
        <v>1141.9000000000001</v>
      </c>
      <c r="L40" s="52">
        <f t="shared" si="57"/>
        <v>1225.3</v>
      </c>
      <c r="M40" s="52">
        <f t="shared" si="57"/>
        <v>1350.3</v>
      </c>
      <c r="N40" s="52">
        <f t="shared" si="57"/>
        <v>1667.1</v>
      </c>
      <c r="O40" s="52">
        <f t="shared" si="57"/>
        <v>1792.1</v>
      </c>
      <c r="P40" s="52">
        <f t="shared" si="57"/>
        <v>2500.6</v>
      </c>
      <c r="Q40" s="48">
        <f t="shared" si="58"/>
        <v>820</v>
      </c>
      <c r="R40" s="116">
        <f>RCF!C$7</f>
        <v>14.91</v>
      </c>
      <c r="S40" s="52">
        <f t="shared" si="59"/>
        <v>1066</v>
      </c>
      <c r="T40" s="52">
        <f t="shared" si="59"/>
        <v>1230</v>
      </c>
      <c r="U40" s="48">
        <f t="shared" si="60"/>
        <v>807.7</v>
      </c>
      <c r="V40" s="116">
        <f>RCF!C$9</f>
        <v>14.686999999999999</v>
      </c>
      <c r="W40" s="48">
        <f t="shared" si="61"/>
        <v>807.7</v>
      </c>
      <c r="X40" s="116">
        <f>RCF!C$9</f>
        <v>14.686999999999999</v>
      </c>
      <c r="Y40" s="52">
        <f t="shared" si="62"/>
        <v>888.4</v>
      </c>
      <c r="Z40" s="52">
        <f t="shared" si="63"/>
        <v>1106.7</v>
      </c>
      <c r="AA40" s="52">
        <f t="shared" si="63"/>
        <v>1308.5999999999999</v>
      </c>
      <c r="AB40" s="52">
        <f t="shared" si="63"/>
        <v>1187.4000000000001</v>
      </c>
      <c r="AC40" s="52">
        <f t="shared" si="63"/>
        <v>1752.9</v>
      </c>
      <c r="AD40" s="52">
        <f t="shared" si="63"/>
        <v>2423.4</v>
      </c>
      <c r="AE40" s="48">
        <f t="shared" si="64"/>
        <v>821.7</v>
      </c>
      <c r="AF40" s="116">
        <f>RCF!C$13</f>
        <v>14.94</v>
      </c>
      <c r="AG40" s="52">
        <f t="shared" si="65"/>
        <v>1355.8</v>
      </c>
      <c r="AH40" s="52">
        <f t="shared" si="65"/>
        <v>1725.6</v>
      </c>
      <c r="AI40" s="52">
        <f t="shared" si="65"/>
        <v>2465.1</v>
      </c>
      <c r="AJ40" s="48">
        <f t="shared" si="66"/>
        <v>819.8</v>
      </c>
      <c r="AK40" s="116">
        <f>RCF!C$25</f>
        <v>14.907142857142857</v>
      </c>
      <c r="AL40" s="48">
        <f t="shared" si="67"/>
        <v>840.7</v>
      </c>
      <c r="AM40" s="116">
        <f>RCF!C$29</f>
        <v>15.285714285714286</v>
      </c>
      <c r="AN40" s="48">
        <f t="shared" si="68"/>
        <v>870.5</v>
      </c>
      <c r="AO40" s="116">
        <f>RCF!C$33</f>
        <v>15.827999999999999</v>
      </c>
      <c r="AP40" s="52">
        <f t="shared" si="69"/>
        <v>1305.7</v>
      </c>
      <c r="AQ40" s="48">
        <f t="shared" si="70"/>
        <v>867.3</v>
      </c>
      <c r="AR40" s="116">
        <f>RCF!C$35</f>
        <v>15.77</v>
      </c>
      <c r="AS40" s="52">
        <f t="shared" si="71"/>
        <v>1127.4000000000001</v>
      </c>
      <c r="AT40" s="52">
        <f t="shared" si="71"/>
        <v>1257.5</v>
      </c>
      <c r="AU40" s="48">
        <f t="shared" si="72"/>
        <v>858.3</v>
      </c>
      <c r="AV40" s="116">
        <f>RCF!C$37</f>
        <v>15.607142857142858</v>
      </c>
      <c r="AW40" s="48">
        <f t="shared" si="73"/>
        <v>873</v>
      </c>
      <c r="AX40" s="116">
        <f>RCF!C$39</f>
        <v>15.872999999999999</v>
      </c>
      <c r="AY40" s="48">
        <f t="shared" si="74"/>
        <v>842.6</v>
      </c>
      <c r="AZ40" s="116">
        <f>RCF!C$41</f>
        <v>15.32</v>
      </c>
    </row>
    <row r="41" spans="1:52" x14ac:dyDescent="0.2">
      <c r="A41" s="70">
        <v>1239</v>
      </c>
      <c r="B41" s="54" t="s">
        <v>47</v>
      </c>
      <c r="C41" s="72">
        <v>27</v>
      </c>
      <c r="D41" s="48">
        <f t="shared" si="53"/>
        <v>1516.1</v>
      </c>
      <c r="E41" s="47">
        <f>RCF!C$43</f>
        <v>56.150171999999998</v>
      </c>
      <c r="F41" s="48">
        <f t="shared" si="54"/>
        <v>409.1</v>
      </c>
      <c r="G41" s="116">
        <f>RCF!C$5</f>
        <v>15.154999999999999</v>
      </c>
      <c r="H41" s="48">
        <f t="shared" si="55"/>
        <v>409.2</v>
      </c>
      <c r="I41" s="116">
        <f t="shared" si="56"/>
        <v>15.154999999999999</v>
      </c>
      <c r="J41" s="52">
        <f t="shared" ref="J41:P50" si="75">ROUND($C41*$I41*J$6,1)</f>
        <v>450.1</v>
      </c>
      <c r="K41" s="52">
        <f t="shared" si="75"/>
        <v>560.6</v>
      </c>
      <c r="L41" s="52">
        <f t="shared" si="75"/>
        <v>601.5</v>
      </c>
      <c r="M41" s="52">
        <f t="shared" si="75"/>
        <v>662.9</v>
      </c>
      <c r="N41" s="52">
        <f t="shared" si="75"/>
        <v>818.4</v>
      </c>
      <c r="O41" s="52">
        <f t="shared" si="75"/>
        <v>879.7</v>
      </c>
      <c r="P41" s="52">
        <f t="shared" si="75"/>
        <v>1227.5999999999999</v>
      </c>
      <c r="Q41" s="48">
        <f t="shared" si="58"/>
        <v>402.5</v>
      </c>
      <c r="R41" s="116">
        <f>RCF!C$7</f>
        <v>14.91</v>
      </c>
      <c r="S41" s="52">
        <f t="shared" si="59"/>
        <v>523.20000000000005</v>
      </c>
      <c r="T41" s="52">
        <f t="shared" si="59"/>
        <v>603.70000000000005</v>
      </c>
      <c r="U41" s="48">
        <f t="shared" si="60"/>
        <v>396.5</v>
      </c>
      <c r="V41" s="116">
        <f>RCF!C$9</f>
        <v>14.686999999999999</v>
      </c>
      <c r="W41" s="48">
        <f t="shared" si="61"/>
        <v>396.5</v>
      </c>
      <c r="X41" s="116">
        <f>RCF!C$9</f>
        <v>14.686999999999999</v>
      </c>
      <c r="Y41" s="52">
        <f t="shared" si="62"/>
        <v>436.1</v>
      </c>
      <c r="Z41" s="52">
        <f t="shared" ref="Z41:AD50" si="76">ROUND($C41*$X41*Z$6,1)</f>
        <v>543.29999999999995</v>
      </c>
      <c r="AA41" s="52">
        <f t="shared" si="76"/>
        <v>642.4</v>
      </c>
      <c r="AB41" s="52">
        <f t="shared" si="76"/>
        <v>582.9</v>
      </c>
      <c r="AC41" s="52">
        <f t="shared" si="76"/>
        <v>860.5</v>
      </c>
      <c r="AD41" s="52">
        <f t="shared" si="76"/>
        <v>1189.5999999999999</v>
      </c>
      <c r="AE41" s="48">
        <f t="shared" si="64"/>
        <v>403.3</v>
      </c>
      <c r="AF41" s="116">
        <f>RCF!C$13</f>
        <v>14.94</v>
      </c>
      <c r="AG41" s="52">
        <f t="shared" si="65"/>
        <v>665.4</v>
      </c>
      <c r="AH41" s="52">
        <f t="shared" si="65"/>
        <v>846.9</v>
      </c>
      <c r="AI41" s="52">
        <f t="shared" si="65"/>
        <v>1209.9000000000001</v>
      </c>
      <c r="AJ41" s="48">
        <f t="shared" si="66"/>
        <v>402.4</v>
      </c>
      <c r="AK41" s="116">
        <f>RCF!C$25</f>
        <v>14.907142857142857</v>
      </c>
      <c r="AL41" s="48">
        <f t="shared" si="67"/>
        <v>412.7</v>
      </c>
      <c r="AM41" s="116">
        <f>RCF!C$29</f>
        <v>15.285714285714286</v>
      </c>
      <c r="AN41" s="48">
        <f t="shared" si="68"/>
        <v>427.3</v>
      </c>
      <c r="AO41" s="116">
        <f>RCF!C$33</f>
        <v>15.827999999999999</v>
      </c>
      <c r="AP41" s="52">
        <f t="shared" si="69"/>
        <v>640.9</v>
      </c>
      <c r="AQ41" s="48">
        <f t="shared" si="70"/>
        <v>425.7</v>
      </c>
      <c r="AR41" s="116">
        <f>RCF!C$35</f>
        <v>15.77</v>
      </c>
      <c r="AS41" s="52">
        <f t="shared" si="71"/>
        <v>553.4</v>
      </c>
      <c r="AT41" s="52">
        <f t="shared" si="71"/>
        <v>617.20000000000005</v>
      </c>
      <c r="AU41" s="48">
        <f t="shared" si="72"/>
        <v>421.3</v>
      </c>
      <c r="AV41" s="116">
        <f>RCF!C$37</f>
        <v>15.607142857142858</v>
      </c>
      <c r="AW41" s="48">
        <f t="shared" si="73"/>
        <v>428.5</v>
      </c>
      <c r="AX41" s="116">
        <f>RCF!C$39</f>
        <v>15.872999999999999</v>
      </c>
      <c r="AY41" s="48">
        <f t="shared" si="74"/>
        <v>413.6</v>
      </c>
      <c r="AZ41" s="116">
        <f>RCF!C$41</f>
        <v>15.32</v>
      </c>
    </row>
    <row r="42" spans="1:52" x14ac:dyDescent="0.2">
      <c r="A42" s="70">
        <v>1247</v>
      </c>
      <c r="B42" s="54" t="s">
        <v>153</v>
      </c>
      <c r="C42" s="55">
        <v>65</v>
      </c>
      <c r="D42" s="48">
        <f t="shared" si="53"/>
        <v>3649.8</v>
      </c>
      <c r="E42" s="47">
        <f>RCF!C$43</f>
        <v>56.150171999999998</v>
      </c>
      <c r="F42" s="48">
        <f t="shared" si="54"/>
        <v>985</v>
      </c>
      <c r="G42" s="116">
        <f>RCF!C$5</f>
        <v>15.154999999999999</v>
      </c>
      <c r="H42" s="48">
        <f t="shared" si="55"/>
        <v>985.1</v>
      </c>
      <c r="I42" s="116">
        <f t="shared" si="56"/>
        <v>15.154999999999999</v>
      </c>
      <c r="J42" s="52">
        <f t="shared" si="75"/>
        <v>1083.5999999999999</v>
      </c>
      <c r="K42" s="52">
        <f t="shared" si="75"/>
        <v>1349.6</v>
      </c>
      <c r="L42" s="52">
        <f t="shared" si="75"/>
        <v>1448.1</v>
      </c>
      <c r="M42" s="52">
        <f t="shared" si="75"/>
        <v>1595.8</v>
      </c>
      <c r="N42" s="52">
        <f t="shared" si="75"/>
        <v>1970.2</v>
      </c>
      <c r="O42" s="52">
        <f t="shared" si="75"/>
        <v>2117.9</v>
      </c>
      <c r="P42" s="52">
        <f t="shared" si="75"/>
        <v>2955.2</v>
      </c>
      <c r="Q42" s="48">
        <f t="shared" si="58"/>
        <v>969.1</v>
      </c>
      <c r="R42" s="116">
        <f>RCF!C$7</f>
        <v>14.91</v>
      </c>
      <c r="S42" s="52">
        <f t="shared" si="59"/>
        <v>1259.8</v>
      </c>
      <c r="T42" s="52">
        <f t="shared" si="59"/>
        <v>1453.6</v>
      </c>
      <c r="U42" s="48">
        <f t="shared" si="60"/>
        <v>954.6</v>
      </c>
      <c r="V42" s="116">
        <f>RCF!C$9</f>
        <v>14.686999999999999</v>
      </c>
      <c r="W42" s="48">
        <f t="shared" si="61"/>
        <v>954.6</v>
      </c>
      <c r="X42" s="116">
        <f>RCF!C$9</f>
        <v>14.686999999999999</v>
      </c>
      <c r="Y42" s="52">
        <f t="shared" si="62"/>
        <v>1050</v>
      </c>
      <c r="Z42" s="52">
        <f t="shared" si="76"/>
        <v>1307.9000000000001</v>
      </c>
      <c r="AA42" s="52">
        <f t="shared" si="76"/>
        <v>1546.5</v>
      </c>
      <c r="AB42" s="52">
        <f t="shared" si="76"/>
        <v>1403.3</v>
      </c>
      <c r="AC42" s="52">
        <f t="shared" si="76"/>
        <v>2071.6</v>
      </c>
      <c r="AD42" s="52">
        <f t="shared" si="76"/>
        <v>2864</v>
      </c>
      <c r="AE42" s="48">
        <f t="shared" si="64"/>
        <v>971.1</v>
      </c>
      <c r="AF42" s="116">
        <f>RCF!C$13</f>
        <v>14.94</v>
      </c>
      <c r="AG42" s="52">
        <f t="shared" si="65"/>
        <v>1602.3</v>
      </c>
      <c r="AH42" s="52">
        <f t="shared" si="65"/>
        <v>2039.3</v>
      </c>
      <c r="AI42" s="52">
        <f t="shared" si="65"/>
        <v>2913.3</v>
      </c>
      <c r="AJ42" s="48">
        <f t="shared" si="66"/>
        <v>968.9</v>
      </c>
      <c r="AK42" s="116">
        <f>RCF!C$25</f>
        <v>14.907142857142857</v>
      </c>
      <c r="AL42" s="48">
        <f t="shared" si="67"/>
        <v>993.5</v>
      </c>
      <c r="AM42" s="116">
        <f>RCF!C$29</f>
        <v>15.285714285714286</v>
      </c>
      <c r="AN42" s="48">
        <f t="shared" si="68"/>
        <v>1028.8</v>
      </c>
      <c r="AO42" s="116">
        <f>RCF!C$33</f>
        <v>15.827999999999999</v>
      </c>
      <c r="AP42" s="52">
        <f t="shared" si="69"/>
        <v>1543.2</v>
      </c>
      <c r="AQ42" s="48">
        <f t="shared" si="70"/>
        <v>1025</v>
      </c>
      <c r="AR42" s="116">
        <f>RCF!C$35</f>
        <v>15.77</v>
      </c>
      <c r="AS42" s="52">
        <f t="shared" si="71"/>
        <v>1332.5</v>
      </c>
      <c r="AT42" s="52">
        <f t="shared" si="71"/>
        <v>1486.2</v>
      </c>
      <c r="AU42" s="48">
        <f t="shared" si="72"/>
        <v>1014.4</v>
      </c>
      <c r="AV42" s="116">
        <f>RCF!C$37</f>
        <v>15.607142857142858</v>
      </c>
      <c r="AW42" s="48">
        <f t="shared" si="73"/>
        <v>1031.7</v>
      </c>
      <c r="AX42" s="116">
        <f>RCF!C$39</f>
        <v>15.872999999999999</v>
      </c>
      <c r="AY42" s="48">
        <f t="shared" si="74"/>
        <v>995.8</v>
      </c>
      <c r="AZ42" s="116">
        <f>RCF!C$41</f>
        <v>15.32</v>
      </c>
    </row>
    <row r="43" spans="1:52" x14ac:dyDescent="0.2">
      <c r="A43" s="70">
        <v>1252</v>
      </c>
      <c r="B43" s="54" t="s">
        <v>154</v>
      </c>
      <c r="C43" s="55">
        <v>140</v>
      </c>
      <c r="D43" s="48">
        <f t="shared" si="53"/>
        <v>7861</v>
      </c>
      <c r="E43" s="47">
        <f>RCF!C$43</f>
        <v>56.150171999999998</v>
      </c>
      <c r="F43" s="48">
        <f t="shared" si="54"/>
        <v>2121.6999999999998</v>
      </c>
      <c r="G43" s="116">
        <f>RCF!C$5</f>
        <v>15.154999999999999</v>
      </c>
      <c r="H43" s="48">
        <f t="shared" si="55"/>
        <v>2121.6999999999998</v>
      </c>
      <c r="I43" s="116">
        <f t="shared" si="56"/>
        <v>15.154999999999999</v>
      </c>
      <c r="J43" s="52">
        <f t="shared" si="75"/>
        <v>2333.9</v>
      </c>
      <c r="K43" s="52">
        <f t="shared" si="75"/>
        <v>2906.7</v>
      </c>
      <c r="L43" s="52">
        <f t="shared" si="75"/>
        <v>3118.9</v>
      </c>
      <c r="M43" s="52">
        <f t="shared" si="75"/>
        <v>3437.2</v>
      </c>
      <c r="N43" s="52">
        <f t="shared" si="75"/>
        <v>4243.3999999999996</v>
      </c>
      <c r="O43" s="52">
        <f t="shared" si="75"/>
        <v>4561.7</v>
      </c>
      <c r="P43" s="52">
        <f t="shared" si="75"/>
        <v>6365.1</v>
      </c>
      <c r="Q43" s="48">
        <f t="shared" si="58"/>
        <v>2087.4</v>
      </c>
      <c r="R43" s="116">
        <f>RCF!C$7</f>
        <v>14.91</v>
      </c>
      <c r="S43" s="52">
        <f t="shared" si="59"/>
        <v>2713.6</v>
      </c>
      <c r="T43" s="52">
        <f t="shared" si="59"/>
        <v>3131.1</v>
      </c>
      <c r="U43" s="48">
        <f t="shared" si="60"/>
        <v>2056.1</v>
      </c>
      <c r="V43" s="116">
        <f>RCF!C$9</f>
        <v>14.686999999999999</v>
      </c>
      <c r="W43" s="48">
        <f t="shared" si="61"/>
        <v>2056.1</v>
      </c>
      <c r="X43" s="116">
        <f>RCF!C$9</f>
        <v>14.686999999999999</v>
      </c>
      <c r="Y43" s="52">
        <f t="shared" si="62"/>
        <v>2261.6999999999998</v>
      </c>
      <c r="Z43" s="52">
        <f t="shared" si="76"/>
        <v>2817</v>
      </c>
      <c r="AA43" s="52">
        <f t="shared" si="76"/>
        <v>3331</v>
      </c>
      <c r="AB43" s="52">
        <f t="shared" si="76"/>
        <v>3022.6</v>
      </c>
      <c r="AC43" s="52">
        <f t="shared" si="76"/>
        <v>4461.8999999999996</v>
      </c>
      <c r="AD43" s="52">
        <f t="shared" si="76"/>
        <v>6168.5</v>
      </c>
      <c r="AE43" s="48">
        <f t="shared" si="64"/>
        <v>2091.6</v>
      </c>
      <c r="AF43" s="116">
        <f>RCF!C$13</f>
        <v>14.94</v>
      </c>
      <c r="AG43" s="52">
        <f t="shared" si="65"/>
        <v>3451.1</v>
      </c>
      <c r="AH43" s="52">
        <f t="shared" si="65"/>
        <v>4392.3999999999996</v>
      </c>
      <c r="AI43" s="52">
        <f t="shared" si="65"/>
        <v>6274.8</v>
      </c>
      <c r="AJ43" s="48">
        <f t="shared" si="66"/>
        <v>2087</v>
      </c>
      <c r="AK43" s="116">
        <f>RCF!C$25</f>
        <v>14.907142857142857</v>
      </c>
      <c r="AL43" s="48">
        <f t="shared" si="67"/>
        <v>2140</v>
      </c>
      <c r="AM43" s="116">
        <f>RCF!C$29</f>
        <v>15.285714285714286</v>
      </c>
      <c r="AN43" s="48">
        <f t="shared" si="68"/>
        <v>2215.9</v>
      </c>
      <c r="AO43" s="116">
        <f>RCF!C$33</f>
        <v>15.827999999999999</v>
      </c>
      <c r="AP43" s="52">
        <f t="shared" si="69"/>
        <v>3323.8</v>
      </c>
      <c r="AQ43" s="48">
        <f t="shared" si="70"/>
        <v>2207.8000000000002</v>
      </c>
      <c r="AR43" s="116">
        <f>RCF!C$35</f>
        <v>15.77</v>
      </c>
      <c r="AS43" s="52">
        <f t="shared" si="71"/>
        <v>2870.1</v>
      </c>
      <c r="AT43" s="52">
        <f t="shared" si="71"/>
        <v>3201.3</v>
      </c>
      <c r="AU43" s="48">
        <f t="shared" si="72"/>
        <v>2185</v>
      </c>
      <c r="AV43" s="116">
        <f>RCF!C$37</f>
        <v>15.607142857142858</v>
      </c>
      <c r="AW43" s="48">
        <f t="shared" si="73"/>
        <v>2222.1999999999998</v>
      </c>
      <c r="AX43" s="116">
        <f>RCF!C$39</f>
        <v>15.872999999999999</v>
      </c>
      <c r="AY43" s="48">
        <f t="shared" si="74"/>
        <v>2144.8000000000002</v>
      </c>
      <c r="AZ43" s="116">
        <f>RCF!C$41</f>
        <v>15.32</v>
      </c>
    </row>
    <row r="44" spans="1:52" x14ac:dyDescent="0.2">
      <c r="A44" s="70">
        <v>1257</v>
      </c>
      <c r="B44" s="54" t="s">
        <v>34</v>
      </c>
      <c r="C44" s="55">
        <v>300</v>
      </c>
      <c r="D44" s="48">
        <f t="shared" si="53"/>
        <v>16845.099999999999</v>
      </c>
      <c r="E44" s="47">
        <f>RCF!C$43</f>
        <v>56.150171999999998</v>
      </c>
      <c r="F44" s="48">
        <f t="shared" si="54"/>
        <v>4546.5</v>
      </c>
      <c r="G44" s="116">
        <f>RCF!C$5</f>
        <v>15.154999999999999</v>
      </c>
      <c r="H44" s="48">
        <f t="shared" si="55"/>
        <v>4546.5</v>
      </c>
      <c r="I44" s="116">
        <f t="shared" si="56"/>
        <v>15.154999999999999</v>
      </c>
      <c r="J44" s="52">
        <f t="shared" si="75"/>
        <v>5001.2</v>
      </c>
      <c r="K44" s="52">
        <f t="shared" si="75"/>
        <v>6228.7</v>
      </c>
      <c r="L44" s="52">
        <f t="shared" si="75"/>
        <v>6683.4</v>
      </c>
      <c r="M44" s="52">
        <f t="shared" si="75"/>
        <v>7365.3</v>
      </c>
      <c r="N44" s="52">
        <f t="shared" si="75"/>
        <v>9093</v>
      </c>
      <c r="O44" s="52">
        <f t="shared" si="75"/>
        <v>9775</v>
      </c>
      <c r="P44" s="52">
        <f t="shared" si="75"/>
        <v>13639.5</v>
      </c>
      <c r="Q44" s="48">
        <f t="shared" si="58"/>
        <v>4473</v>
      </c>
      <c r="R44" s="116">
        <f>RCF!C$7</f>
        <v>14.91</v>
      </c>
      <c r="S44" s="52">
        <f t="shared" si="59"/>
        <v>5814.9</v>
      </c>
      <c r="T44" s="52">
        <f t="shared" si="59"/>
        <v>6709.5</v>
      </c>
      <c r="U44" s="48">
        <f t="shared" si="60"/>
        <v>4406.1000000000004</v>
      </c>
      <c r="V44" s="116">
        <f>RCF!C$9</f>
        <v>14.686999999999999</v>
      </c>
      <c r="W44" s="48">
        <f t="shared" si="61"/>
        <v>4406.1000000000004</v>
      </c>
      <c r="X44" s="116">
        <f>RCF!C$9</f>
        <v>14.686999999999999</v>
      </c>
      <c r="Y44" s="52">
        <f t="shared" si="62"/>
        <v>4846.7</v>
      </c>
      <c r="Z44" s="52">
        <f t="shared" si="76"/>
        <v>6036.4</v>
      </c>
      <c r="AA44" s="52">
        <f t="shared" si="76"/>
        <v>7137.9</v>
      </c>
      <c r="AB44" s="52">
        <f t="shared" si="76"/>
        <v>6477</v>
      </c>
      <c r="AC44" s="52">
        <f t="shared" si="76"/>
        <v>9561.2000000000007</v>
      </c>
      <c r="AD44" s="52">
        <f t="shared" si="76"/>
        <v>13218.3</v>
      </c>
      <c r="AE44" s="48">
        <f t="shared" si="64"/>
        <v>4482</v>
      </c>
      <c r="AF44" s="116">
        <f>RCF!C$13</f>
        <v>14.94</v>
      </c>
      <c r="AG44" s="52">
        <f t="shared" si="65"/>
        <v>7395.3</v>
      </c>
      <c r="AH44" s="52">
        <f t="shared" si="65"/>
        <v>9412.2000000000007</v>
      </c>
      <c r="AI44" s="52">
        <f t="shared" si="65"/>
        <v>13446</v>
      </c>
      <c r="AJ44" s="48">
        <f t="shared" si="66"/>
        <v>4472.1000000000004</v>
      </c>
      <c r="AK44" s="116">
        <f>RCF!C$25</f>
        <v>14.907142857142857</v>
      </c>
      <c r="AL44" s="48">
        <f t="shared" si="67"/>
        <v>4585.7</v>
      </c>
      <c r="AM44" s="116">
        <f>RCF!C$29</f>
        <v>15.285714285714286</v>
      </c>
      <c r="AN44" s="48">
        <f t="shared" si="68"/>
        <v>4748.3999999999996</v>
      </c>
      <c r="AO44" s="116">
        <f>RCF!C$33</f>
        <v>15.827999999999999</v>
      </c>
      <c r="AP44" s="52">
        <f t="shared" si="69"/>
        <v>7122.6</v>
      </c>
      <c r="AQ44" s="48">
        <f t="shared" si="70"/>
        <v>4731</v>
      </c>
      <c r="AR44" s="116">
        <f>RCF!C$35</f>
        <v>15.77</v>
      </c>
      <c r="AS44" s="52">
        <f t="shared" si="71"/>
        <v>6150.3</v>
      </c>
      <c r="AT44" s="52">
        <f t="shared" si="71"/>
        <v>6859.9</v>
      </c>
      <c r="AU44" s="48">
        <f t="shared" si="72"/>
        <v>4682.1000000000004</v>
      </c>
      <c r="AV44" s="116">
        <f>RCF!C$37</f>
        <v>15.607142857142858</v>
      </c>
      <c r="AW44" s="48">
        <f t="shared" si="73"/>
        <v>4761.8999999999996</v>
      </c>
      <c r="AX44" s="116">
        <f>RCF!C$39</f>
        <v>15.872999999999999</v>
      </c>
      <c r="AY44" s="48">
        <f t="shared" si="74"/>
        <v>4596</v>
      </c>
      <c r="AZ44" s="116">
        <f>RCF!C$41</f>
        <v>15.32</v>
      </c>
    </row>
    <row r="45" spans="1:52" x14ac:dyDescent="0.2">
      <c r="A45" s="70">
        <v>1259</v>
      </c>
      <c r="B45" s="54" t="s">
        <v>33</v>
      </c>
      <c r="C45" s="55">
        <v>230</v>
      </c>
      <c r="D45" s="48">
        <f t="shared" si="53"/>
        <v>12914.5</v>
      </c>
      <c r="E45" s="47">
        <f>RCF!C$43</f>
        <v>56.150171999999998</v>
      </c>
      <c r="F45" s="48">
        <f t="shared" si="54"/>
        <v>3485.6</v>
      </c>
      <c r="G45" s="116">
        <f>RCF!C$5</f>
        <v>15.154999999999999</v>
      </c>
      <c r="H45" s="48">
        <f t="shared" si="55"/>
        <v>3485.7</v>
      </c>
      <c r="I45" s="116">
        <f t="shared" si="56"/>
        <v>15.154999999999999</v>
      </c>
      <c r="J45" s="52">
        <f t="shared" si="75"/>
        <v>3834.2</v>
      </c>
      <c r="K45" s="52">
        <f t="shared" si="75"/>
        <v>4775.3</v>
      </c>
      <c r="L45" s="52">
        <f t="shared" si="75"/>
        <v>5123.8999999999996</v>
      </c>
      <c r="M45" s="52">
        <f t="shared" si="75"/>
        <v>5646.8</v>
      </c>
      <c r="N45" s="52">
        <f t="shared" si="75"/>
        <v>6971.3</v>
      </c>
      <c r="O45" s="52">
        <f t="shared" si="75"/>
        <v>7494.1</v>
      </c>
      <c r="P45" s="52">
        <f t="shared" si="75"/>
        <v>10457</v>
      </c>
      <c r="Q45" s="48">
        <f t="shared" si="58"/>
        <v>3429.3</v>
      </c>
      <c r="R45" s="116">
        <f>RCF!C$7</f>
        <v>14.91</v>
      </c>
      <c r="S45" s="52">
        <f t="shared" si="59"/>
        <v>4458</v>
      </c>
      <c r="T45" s="52">
        <f t="shared" si="59"/>
        <v>5143.8999999999996</v>
      </c>
      <c r="U45" s="48">
        <f t="shared" si="60"/>
        <v>3378</v>
      </c>
      <c r="V45" s="116">
        <f>RCF!C$9</f>
        <v>14.686999999999999</v>
      </c>
      <c r="W45" s="48">
        <f t="shared" si="61"/>
        <v>3378</v>
      </c>
      <c r="X45" s="116">
        <f>RCF!C$9</f>
        <v>14.686999999999999</v>
      </c>
      <c r="Y45" s="52">
        <f t="shared" si="62"/>
        <v>3715.8</v>
      </c>
      <c r="Z45" s="52">
        <f t="shared" si="76"/>
        <v>4627.8999999999996</v>
      </c>
      <c r="AA45" s="52">
        <f t="shared" si="76"/>
        <v>5472.4</v>
      </c>
      <c r="AB45" s="52">
        <f t="shared" si="76"/>
        <v>4965.7</v>
      </c>
      <c r="AC45" s="52">
        <f t="shared" si="76"/>
        <v>7330.3</v>
      </c>
      <c r="AD45" s="52">
        <f t="shared" si="76"/>
        <v>10134</v>
      </c>
      <c r="AE45" s="48">
        <f t="shared" si="64"/>
        <v>3436.2</v>
      </c>
      <c r="AF45" s="116">
        <f>RCF!C$13</f>
        <v>14.94</v>
      </c>
      <c r="AG45" s="52">
        <f t="shared" si="65"/>
        <v>5669.7</v>
      </c>
      <c r="AH45" s="52">
        <f t="shared" si="65"/>
        <v>7216</v>
      </c>
      <c r="AI45" s="52">
        <f t="shared" si="65"/>
        <v>10308.6</v>
      </c>
      <c r="AJ45" s="48">
        <f t="shared" si="66"/>
        <v>3428.6</v>
      </c>
      <c r="AK45" s="116">
        <f>RCF!C$25</f>
        <v>14.907142857142857</v>
      </c>
      <c r="AL45" s="48">
        <f t="shared" si="67"/>
        <v>3515.7</v>
      </c>
      <c r="AM45" s="116">
        <f>RCF!C$29</f>
        <v>15.285714285714286</v>
      </c>
      <c r="AN45" s="48">
        <f t="shared" si="68"/>
        <v>3640.4</v>
      </c>
      <c r="AO45" s="116">
        <f>RCF!C$33</f>
        <v>15.827999999999999</v>
      </c>
      <c r="AP45" s="52">
        <f t="shared" si="69"/>
        <v>5460.6</v>
      </c>
      <c r="AQ45" s="48">
        <f t="shared" si="70"/>
        <v>3627.1</v>
      </c>
      <c r="AR45" s="116">
        <f>RCF!C$35</f>
        <v>15.77</v>
      </c>
      <c r="AS45" s="52">
        <f t="shared" si="71"/>
        <v>4715.2</v>
      </c>
      <c r="AT45" s="52">
        <f t="shared" si="71"/>
        <v>5259.2</v>
      </c>
      <c r="AU45" s="48">
        <f t="shared" si="72"/>
        <v>3589.6</v>
      </c>
      <c r="AV45" s="116">
        <f>RCF!C$37</f>
        <v>15.607142857142858</v>
      </c>
      <c r="AW45" s="48">
        <f t="shared" si="73"/>
        <v>3650.7</v>
      </c>
      <c r="AX45" s="116">
        <f>RCF!C$39</f>
        <v>15.872999999999999</v>
      </c>
      <c r="AY45" s="48">
        <f t="shared" si="74"/>
        <v>3523.6</v>
      </c>
      <c r="AZ45" s="116">
        <f>RCF!C$41</f>
        <v>15.32</v>
      </c>
    </row>
    <row r="46" spans="1:52" x14ac:dyDescent="0.2">
      <c r="A46" s="70">
        <v>1261</v>
      </c>
      <c r="B46" s="71" t="s">
        <v>35</v>
      </c>
      <c r="C46" s="72">
        <v>600</v>
      </c>
      <c r="D46" s="48">
        <f t="shared" si="53"/>
        <v>33690.1</v>
      </c>
      <c r="E46" s="47">
        <f>RCF!C$43</f>
        <v>56.150171999999998</v>
      </c>
      <c r="F46" s="48">
        <f t="shared" si="54"/>
        <v>9093</v>
      </c>
      <c r="G46" s="116">
        <f>RCF!C$5</f>
        <v>15.154999999999999</v>
      </c>
      <c r="H46" s="48">
        <f t="shared" si="55"/>
        <v>9093</v>
      </c>
      <c r="I46" s="116">
        <f t="shared" si="56"/>
        <v>15.154999999999999</v>
      </c>
      <c r="J46" s="52">
        <f t="shared" si="75"/>
        <v>10002.299999999999</v>
      </c>
      <c r="K46" s="52">
        <f t="shared" si="75"/>
        <v>12457.4</v>
      </c>
      <c r="L46" s="52">
        <f t="shared" si="75"/>
        <v>13366.7</v>
      </c>
      <c r="M46" s="52">
        <f t="shared" si="75"/>
        <v>14730.7</v>
      </c>
      <c r="N46" s="52">
        <f t="shared" si="75"/>
        <v>18186</v>
      </c>
      <c r="O46" s="52">
        <f t="shared" si="75"/>
        <v>19550</v>
      </c>
      <c r="P46" s="52">
        <f t="shared" si="75"/>
        <v>27279</v>
      </c>
      <c r="Q46" s="48">
        <f t="shared" si="58"/>
        <v>8946</v>
      </c>
      <c r="R46" s="116">
        <f>RCF!C$7</f>
        <v>14.91</v>
      </c>
      <c r="S46" s="52">
        <f t="shared" si="59"/>
        <v>11629.8</v>
      </c>
      <c r="T46" s="52">
        <f t="shared" si="59"/>
        <v>13419</v>
      </c>
      <c r="U46" s="48">
        <f t="shared" si="60"/>
        <v>8812.2000000000007</v>
      </c>
      <c r="V46" s="116">
        <f>RCF!C$9</f>
        <v>14.686999999999999</v>
      </c>
      <c r="W46" s="48">
        <f t="shared" si="61"/>
        <v>8812.2000000000007</v>
      </c>
      <c r="X46" s="116">
        <f>RCF!C$9</f>
        <v>14.686999999999999</v>
      </c>
      <c r="Y46" s="52">
        <f t="shared" si="62"/>
        <v>9693.4</v>
      </c>
      <c r="Z46" s="52">
        <f t="shared" si="76"/>
        <v>12072.7</v>
      </c>
      <c r="AA46" s="52">
        <f t="shared" si="76"/>
        <v>14275.8</v>
      </c>
      <c r="AB46" s="52">
        <f t="shared" si="76"/>
        <v>12953.9</v>
      </c>
      <c r="AC46" s="52">
        <f t="shared" si="76"/>
        <v>19122.5</v>
      </c>
      <c r="AD46" s="52">
        <f t="shared" si="76"/>
        <v>26436.6</v>
      </c>
      <c r="AE46" s="48">
        <f t="shared" si="64"/>
        <v>8964</v>
      </c>
      <c r="AF46" s="116">
        <f>RCF!C$13</f>
        <v>14.94</v>
      </c>
      <c r="AG46" s="52">
        <f t="shared" si="65"/>
        <v>14790.6</v>
      </c>
      <c r="AH46" s="52">
        <f t="shared" si="65"/>
        <v>18824.400000000001</v>
      </c>
      <c r="AI46" s="52">
        <f t="shared" si="65"/>
        <v>26892</v>
      </c>
      <c r="AJ46" s="48">
        <f t="shared" si="66"/>
        <v>8944.2000000000007</v>
      </c>
      <c r="AK46" s="116">
        <f>RCF!C$25</f>
        <v>14.907142857142857</v>
      </c>
      <c r="AL46" s="48">
        <f t="shared" si="67"/>
        <v>9171.4</v>
      </c>
      <c r="AM46" s="116">
        <f>RCF!C$29</f>
        <v>15.285714285714286</v>
      </c>
      <c r="AN46" s="48">
        <f t="shared" si="68"/>
        <v>9496.7999999999993</v>
      </c>
      <c r="AO46" s="116">
        <f>RCF!C$33</f>
        <v>15.827999999999999</v>
      </c>
      <c r="AP46" s="52">
        <f t="shared" si="69"/>
        <v>14245.2</v>
      </c>
      <c r="AQ46" s="48">
        <f t="shared" si="70"/>
        <v>9462</v>
      </c>
      <c r="AR46" s="116">
        <f>RCF!C$35</f>
        <v>15.77</v>
      </c>
      <c r="AS46" s="52">
        <f t="shared" si="71"/>
        <v>12300.6</v>
      </c>
      <c r="AT46" s="52">
        <f t="shared" si="71"/>
        <v>13719.9</v>
      </c>
      <c r="AU46" s="48">
        <f t="shared" si="72"/>
        <v>9364.2000000000007</v>
      </c>
      <c r="AV46" s="116">
        <f>RCF!C$37</f>
        <v>15.607142857142858</v>
      </c>
      <c r="AW46" s="48">
        <f t="shared" si="73"/>
        <v>9523.7999999999993</v>
      </c>
      <c r="AX46" s="116">
        <f>RCF!C$39</f>
        <v>15.872999999999999</v>
      </c>
      <c r="AY46" s="48">
        <f t="shared" si="74"/>
        <v>9192</v>
      </c>
      <c r="AZ46" s="116">
        <f>RCF!C$41</f>
        <v>15.32</v>
      </c>
    </row>
    <row r="47" spans="1:52" x14ac:dyDescent="0.2">
      <c r="A47" s="70">
        <v>1262</v>
      </c>
      <c r="B47" s="54" t="s">
        <v>48</v>
      </c>
      <c r="C47" s="55">
        <v>500</v>
      </c>
      <c r="D47" s="48">
        <f t="shared" si="53"/>
        <v>28075.1</v>
      </c>
      <c r="E47" s="47">
        <f>RCF!C$43</f>
        <v>56.150171999999998</v>
      </c>
      <c r="F47" s="48">
        <f t="shared" si="54"/>
        <v>7577.5</v>
      </c>
      <c r="G47" s="116">
        <f>RCF!C$5</f>
        <v>15.154999999999999</v>
      </c>
      <c r="H47" s="48">
        <f t="shared" si="55"/>
        <v>7577.5</v>
      </c>
      <c r="I47" s="116">
        <f t="shared" si="56"/>
        <v>15.154999999999999</v>
      </c>
      <c r="J47" s="52">
        <f t="shared" si="75"/>
        <v>8335.2999999999993</v>
      </c>
      <c r="K47" s="52">
        <f t="shared" si="75"/>
        <v>10381.200000000001</v>
      </c>
      <c r="L47" s="52">
        <f t="shared" si="75"/>
        <v>11138.9</v>
      </c>
      <c r="M47" s="52">
        <f t="shared" si="75"/>
        <v>12275.6</v>
      </c>
      <c r="N47" s="52">
        <f t="shared" si="75"/>
        <v>15155</v>
      </c>
      <c r="O47" s="52">
        <f t="shared" si="75"/>
        <v>16291.6</v>
      </c>
      <c r="P47" s="52">
        <f t="shared" si="75"/>
        <v>22732.5</v>
      </c>
      <c r="Q47" s="48">
        <f t="shared" si="58"/>
        <v>7455</v>
      </c>
      <c r="R47" s="116">
        <f>RCF!C$7</f>
        <v>14.91</v>
      </c>
      <c r="S47" s="52">
        <f t="shared" si="59"/>
        <v>9691.5</v>
      </c>
      <c r="T47" s="52">
        <f t="shared" si="59"/>
        <v>11182.5</v>
      </c>
      <c r="U47" s="48">
        <f t="shared" si="60"/>
        <v>7343.5</v>
      </c>
      <c r="V47" s="116">
        <f>RCF!C$9</f>
        <v>14.686999999999999</v>
      </c>
      <c r="W47" s="48">
        <f t="shared" si="61"/>
        <v>7343.5</v>
      </c>
      <c r="X47" s="116">
        <f>RCF!C$9</f>
        <v>14.686999999999999</v>
      </c>
      <c r="Y47" s="52">
        <f t="shared" si="62"/>
        <v>8077.8</v>
      </c>
      <c r="Z47" s="52">
        <f t="shared" si="76"/>
        <v>10060.6</v>
      </c>
      <c r="AA47" s="52">
        <f t="shared" si="76"/>
        <v>11896.5</v>
      </c>
      <c r="AB47" s="52">
        <f t="shared" si="76"/>
        <v>10794.9</v>
      </c>
      <c r="AC47" s="52">
        <f t="shared" si="76"/>
        <v>15935.4</v>
      </c>
      <c r="AD47" s="52">
        <f t="shared" si="76"/>
        <v>22030.5</v>
      </c>
      <c r="AE47" s="48">
        <f t="shared" si="64"/>
        <v>7470</v>
      </c>
      <c r="AF47" s="116">
        <f>RCF!C$13</f>
        <v>14.94</v>
      </c>
      <c r="AG47" s="52">
        <f t="shared" si="65"/>
        <v>12325.5</v>
      </c>
      <c r="AH47" s="52">
        <f t="shared" si="65"/>
        <v>15687</v>
      </c>
      <c r="AI47" s="52">
        <f t="shared" si="65"/>
        <v>22410</v>
      </c>
      <c r="AJ47" s="48">
        <f t="shared" si="66"/>
        <v>7453.5</v>
      </c>
      <c r="AK47" s="116">
        <f>RCF!C$25</f>
        <v>14.907142857142857</v>
      </c>
      <c r="AL47" s="48">
        <f t="shared" si="67"/>
        <v>7642.8</v>
      </c>
      <c r="AM47" s="116">
        <f>RCF!C$29</f>
        <v>15.285714285714286</v>
      </c>
      <c r="AN47" s="48">
        <f t="shared" si="68"/>
        <v>7914</v>
      </c>
      <c r="AO47" s="116">
        <f>RCF!C$33</f>
        <v>15.827999999999999</v>
      </c>
      <c r="AP47" s="52">
        <f t="shared" si="69"/>
        <v>11871</v>
      </c>
      <c r="AQ47" s="48">
        <f t="shared" si="70"/>
        <v>7885</v>
      </c>
      <c r="AR47" s="116">
        <f>RCF!C$35</f>
        <v>15.77</v>
      </c>
      <c r="AS47" s="52">
        <f t="shared" si="71"/>
        <v>10250.5</v>
      </c>
      <c r="AT47" s="52">
        <f t="shared" si="71"/>
        <v>11433.2</v>
      </c>
      <c r="AU47" s="48">
        <f t="shared" si="72"/>
        <v>7803.5</v>
      </c>
      <c r="AV47" s="116">
        <f>RCF!C$37</f>
        <v>15.607142857142858</v>
      </c>
      <c r="AW47" s="48">
        <f t="shared" si="73"/>
        <v>7936.5</v>
      </c>
      <c r="AX47" s="116">
        <f>RCF!C$39</f>
        <v>15.872999999999999</v>
      </c>
      <c r="AY47" s="48">
        <f t="shared" si="74"/>
        <v>7660</v>
      </c>
      <c r="AZ47" s="116">
        <f>RCF!C$41</f>
        <v>15.32</v>
      </c>
    </row>
    <row r="48" spans="1:52" x14ac:dyDescent="0.2">
      <c r="A48" s="70">
        <v>1268</v>
      </c>
      <c r="B48" s="54" t="s">
        <v>155</v>
      </c>
      <c r="C48" s="55">
        <v>15</v>
      </c>
      <c r="D48" s="48">
        <f t="shared" si="53"/>
        <v>842.3</v>
      </c>
      <c r="E48" s="47">
        <f>RCF!C$43</f>
        <v>56.150171999999998</v>
      </c>
      <c r="F48" s="48">
        <f t="shared" si="54"/>
        <v>227.3</v>
      </c>
      <c r="G48" s="116">
        <f>RCF!C$5</f>
        <v>15.154999999999999</v>
      </c>
      <c r="H48" s="48">
        <f t="shared" si="55"/>
        <v>227.3</v>
      </c>
      <c r="I48" s="116">
        <f t="shared" si="56"/>
        <v>15.154999999999999</v>
      </c>
      <c r="J48" s="52">
        <f t="shared" si="75"/>
        <v>250.1</v>
      </c>
      <c r="K48" s="52">
        <f t="shared" si="75"/>
        <v>311.39999999999998</v>
      </c>
      <c r="L48" s="52">
        <f t="shared" si="75"/>
        <v>334.2</v>
      </c>
      <c r="M48" s="52">
        <f t="shared" si="75"/>
        <v>368.3</v>
      </c>
      <c r="N48" s="52">
        <f t="shared" si="75"/>
        <v>454.7</v>
      </c>
      <c r="O48" s="52">
        <f t="shared" si="75"/>
        <v>488.7</v>
      </c>
      <c r="P48" s="52">
        <f t="shared" si="75"/>
        <v>682</v>
      </c>
      <c r="Q48" s="48">
        <f t="shared" si="58"/>
        <v>223.6</v>
      </c>
      <c r="R48" s="116">
        <f>RCF!C$7</f>
        <v>14.91</v>
      </c>
      <c r="S48" s="52">
        <f t="shared" si="59"/>
        <v>290.60000000000002</v>
      </c>
      <c r="T48" s="52">
        <f t="shared" si="59"/>
        <v>335.4</v>
      </c>
      <c r="U48" s="48">
        <f t="shared" si="60"/>
        <v>220.3</v>
      </c>
      <c r="V48" s="116">
        <f>RCF!C$9</f>
        <v>14.686999999999999</v>
      </c>
      <c r="W48" s="48">
        <f t="shared" si="61"/>
        <v>220.3</v>
      </c>
      <c r="X48" s="116">
        <f>RCF!C$9</f>
        <v>14.686999999999999</v>
      </c>
      <c r="Y48" s="52">
        <f t="shared" si="62"/>
        <v>242.3</v>
      </c>
      <c r="Z48" s="52">
        <f t="shared" si="76"/>
        <v>301.8</v>
      </c>
      <c r="AA48" s="52">
        <f t="shared" si="76"/>
        <v>356.9</v>
      </c>
      <c r="AB48" s="52">
        <f t="shared" si="76"/>
        <v>323.8</v>
      </c>
      <c r="AC48" s="52">
        <f t="shared" si="76"/>
        <v>478.1</v>
      </c>
      <c r="AD48" s="52">
        <f t="shared" si="76"/>
        <v>660.9</v>
      </c>
      <c r="AE48" s="48">
        <f t="shared" si="64"/>
        <v>224.1</v>
      </c>
      <c r="AF48" s="116">
        <f>RCF!C$13</f>
        <v>14.94</v>
      </c>
      <c r="AG48" s="52">
        <f t="shared" si="65"/>
        <v>369.8</v>
      </c>
      <c r="AH48" s="52">
        <f t="shared" si="65"/>
        <v>470.6</v>
      </c>
      <c r="AI48" s="52">
        <f t="shared" si="65"/>
        <v>672.3</v>
      </c>
      <c r="AJ48" s="48">
        <f t="shared" si="66"/>
        <v>223.6</v>
      </c>
      <c r="AK48" s="116">
        <f>RCF!C$25</f>
        <v>14.907142857142857</v>
      </c>
      <c r="AL48" s="48">
        <f t="shared" si="67"/>
        <v>229.2</v>
      </c>
      <c r="AM48" s="116">
        <f>RCF!C$29</f>
        <v>15.285714285714286</v>
      </c>
      <c r="AN48" s="48">
        <f t="shared" si="68"/>
        <v>237.4</v>
      </c>
      <c r="AO48" s="116">
        <f>RCF!C$33</f>
        <v>15.827999999999999</v>
      </c>
      <c r="AP48" s="52">
        <f t="shared" si="69"/>
        <v>356.1</v>
      </c>
      <c r="AQ48" s="48">
        <f t="shared" si="70"/>
        <v>236.5</v>
      </c>
      <c r="AR48" s="116">
        <f>RCF!C$35</f>
        <v>15.77</v>
      </c>
      <c r="AS48" s="52">
        <f t="shared" si="71"/>
        <v>307.39999999999998</v>
      </c>
      <c r="AT48" s="52">
        <f t="shared" si="71"/>
        <v>342.9</v>
      </c>
      <c r="AU48" s="48">
        <f t="shared" si="72"/>
        <v>234.1</v>
      </c>
      <c r="AV48" s="116">
        <f>RCF!C$37</f>
        <v>15.607142857142858</v>
      </c>
      <c r="AW48" s="48">
        <f t="shared" si="73"/>
        <v>238</v>
      </c>
      <c r="AX48" s="116">
        <f>RCF!C$39</f>
        <v>15.872999999999999</v>
      </c>
      <c r="AY48" s="48">
        <f t="shared" si="74"/>
        <v>229.8</v>
      </c>
      <c r="AZ48" s="116">
        <f>RCF!C$41</f>
        <v>15.32</v>
      </c>
    </row>
    <row r="49" spans="1:52" ht="25.5" x14ac:dyDescent="0.2">
      <c r="A49" s="70">
        <v>1270</v>
      </c>
      <c r="B49" s="54" t="s">
        <v>156</v>
      </c>
      <c r="C49" s="55">
        <v>50</v>
      </c>
      <c r="D49" s="48">
        <f t="shared" si="53"/>
        <v>2807.5</v>
      </c>
      <c r="E49" s="47">
        <f>RCF!C$43</f>
        <v>56.150171999999998</v>
      </c>
      <c r="F49" s="48">
        <f t="shared" si="54"/>
        <v>757.7</v>
      </c>
      <c r="G49" s="116">
        <f>RCF!C$5</f>
        <v>15.154999999999999</v>
      </c>
      <c r="H49" s="48">
        <f t="shared" si="55"/>
        <v>757.8</v>
      </c>
      <c r="I49" s="116">
        <f t="shared" si="56"/>
        <v>15.154999999999999</v>
      </c>
      <c r="J49" s="52">
        <f t="shared" si="75"/>
        <v>833.5</v>
      </c>
      <c r="K49" s="52">
        <f t="shared" si="75"/>
        <v>1038.0999999999999</v>
      </c>
      <c r="L49" s="52">
        <f t="shared" si="75"/>
        <v>1113.9000000000001</v>
      </c>
      <c r="M49" s="52">
        <f t="shared" si="75"/>
        <v>1227.5999999999999</v>
      </c>
      <c r="N49" s="52">
        <f t="shared" si="75"/>
        <v>1515.5</v>
      </c>
      <c r="O49" s="52">
        <f t="shared" si="75"/>
        <v>1629.2</v>
      </c>
      <c r="P49" s="52">
        <f t="shared" si="75"/>
        <v>2273.3000000000002</v>
      </c>
      <c r="Q49" s="48">
        <f t="shared" si="58"/>
        <v>745.5</v>
      </c>
      <c r="R49" s="116">
        <f>RCF!C$7</f>
        <v>14.91</v>
      </c>
      <c r="S49" s="52">
        <f t="shared" si="59"/>
        <v>969.1</v>
      </c>
      <c r="T49" s="52">
        <f t="shared" si="59"/>
        <v>1118.2</v>
      </c>
      <c r="U49" s="48">
        <f t="shared" si="60"/>
        <v>734.3</v>
      </c>
      <c r="V49" s="116">
        <f>RCF!C$9</f>
        <v>14.686999999999999</v>
      </c>
      <c r="W49" s="48">
        <f t="shared" si="61"/>
        <v>734.3</v>
      </c>
      <c r="X49" s="116">
        <f>RCF!C$9</f>
        <v>14.686999999999999</v>
      </c>
      <c r="Y49" s="52">
        <f t="shared" si="62"/>
        <v>807.7</v>
      </c>
      <c r="Z49" s="52">
        <f t="shared" si="76"/>
        <v>1006.1</v>
      </c>
      <c r="AA49" s="52">
        <f t="shared" si="76"/>
        <v>1189.5999999999999</v>
      </c>
      <c r="AB49" s="52">
        <f t="shared" si="76"/>
        <v>1079.5</v>
      </c>
      <c r="AC49" s="52">
        <f t="shared" si="76"/>
        <v>1593.5</v>
      </c>
      <c r="AD49" s="52">
        <f t="shared" si="76"/>
        <v>2203.1</v>
      </c>
      <c r="AE49" s="48">
        <f t="shared" si="64"/>
        <v>747</v>
      </c>
      <c r="AF49" s="116">
        <f>RCF!C$13</f>
        <v>14.94</v>
      </c>
      <c r="AG49" s="52">
        <f t="shared" si="65"/>
        <v>1232.5999999999999</v>
      </c>
      <c r="AH49" s="52">
        <f t="shared" si="65"/>
        <v>1568.7</v>
      </c>
      <c r="AI49" s="52">
        <f t="shared" si="65"/>
        <v>2241</v>
      </c>
      <c r="AJ49" s="48">
        <f t="shared" si="66"/>
        <v>745.3</v>
      </c>
      <c r="AK49" s="116">
        <f>RCF!C$25</f>
        <v>14.907142857142857</v>
      </c>
      <c r="AL49" s="48">
        <f t="shared" si="67"/>
        <v>764.2</v>
      </c>
      <c r="AM49" s="116">
        <f>RCF!C$29</f>
        <v>15.285714285714286</v>
      </c>
      <c r="AN49" s="48">
        <f t="shared" si="68"/>
        <v>791.4</v>
      </c>
      <c r="AO49" s="116">
        <f>RCF!C$33</f>
        <v>15.827999999999999</v>
      </c>
      <c r="AP49" s="52">
        <f t="shared" si="69"/>
        <v>1187.0999999999999</v>
      </c>
      <c r="AQ49" s="48">
        <f t="shared" si="70"/>
        <v>788.5</v>
      </c>
      <c r="AR49" s="116">
        <f>RCF!C$35</f>
        <v>15.77</v>
      </c>
      <c r="AS49" s="52">
        <f t="shared" si="71"/>
        <v>1025</v>
      </c>
      <c r="AT49" s="52">
        <f t="shared" si="71"/>
        <v>1143.3</v>
      </c>
      <c r="AU49" s="48">
        <f t="shared" si="72"/>
        <v>780.3</v>
      </c>
      <c r="AV49" s="116">
        <f>RCF!C$37</f>
        <v>15.607142857142858</v>
      </c>
      <c r="AW49" s="48">
        <f t="shared" si="73"/>
        <v>793.6</v>
      </c>
      <c r="AX49" s="116">
        <f>RCF!C$39</f>
        <v>15.872999999999999</v>
      </c>
      <c r="AY49" s="48">
        <f t="shared" si="74"/>
        <v>766</v>
      </c>
      <c r="AZ49" s="116">
        <f>RCF!C$41</f>
        <v>15.32</v>
      </c>
    </row>
    <row r="50" spans="1:52" x14ac:dyDescent="0.2">
      <c r="A50" s="70">
        <v>1276</v>
      </c>
      <c r="B50" s="71" t="s">
        <v>36</v>
      </c>
      <c r="C50" s="72">
        <v>260</v>
      </c>
      <c r="D50" s="48">
        <f t="shared" si="53"/>
        <v>14599</v>
      </c>
      <c r="E50" s="47">
        <f>RCF!C$43</f>
        <v>56.150171999999998</v>
      </c>
      <c r="F50" s="48">
        <f t="shared" si="54"/>
        <v>3940.3</v>
      </c>
      <c r="G50" s="116">
        <f>RCF!C$5</f>
        <v>15.154999999999999</v>
      </c>
      <c r="H50" s="48">
        <f t="shared" si="55"/>
        <v>3940.3</v>
      </c>
      <c r="I50" s="116">
        <f t="shared" si="56"/>
        <v>15.154999999999999</v>
      </c>
      <c r="J50" s="52">
        <f t="shared" si="75"/>
        <v>4334.3</v>
      </c>
      <c r="K50" s="52">
        <f t="shared" si="75"/>
        <v>5398.2</v>
      </c>
      <c r="L50" s="52">
        <f t="shared" si="75"/>
        <v>5792.2</v>
      </c>
      <c r="M50" s="52">
        <f t="shared" si="75"/>
        <v>6383.3</v>
      </c>
      <c r="N50" s="52">
        <f t="shared" si="75"/>
        <v>7880.6</v>
      </c>
      <c r="O50" s="52">
        <f t="shared" si="75"/>
        <v>8471.6</v>
      </c>
      <c r="P50" s="52">
        <f t="shared" si="75"/>
        <v>11820.9</v>
      </c>
      <c r="Q50" s="48">
        <f t="shared" si="58"/>
        <v>3876.6</v>
      </c>
      <c r="R50" s="116">
        <f>RCF!C$7</f>
        <v>14.91</v>
      </c>
      <c r="S50" s="52">
        <f t="shared" si="59"/>
        <v>5039.5</v>
      </c>
      <c r="T50" s="52">
        <f t="shared" si="59"/>
        <v>5814.9</v>
      </c>
      <c r="U50" s="48">
        <f t="shared" si="60"/>
        <v>3818.6</v>
      </c>
      <c r="V50" s="116">
        <f>RCF!C$9</f>
        <v>14.686999999999999</v>
      </c>
      <c r="W50" s="48">
        <f t="shared" si="61"/>
        <v>3818.6</v>
      </c>
      <c r="X50" s="116">
        <f>RCF!C$9</f>
        <v>14.686999999999999</v>
      </c>
      <c r="Y50" s="52">
        <f t="shared" si="62"/>
        <v>4200.3999999999996</v>
      </c>
      <c r="Z50" s="52">
        <f t="shared" si="76"/>
        <v>5231.5</v>
      </c>
      <c r="AA50" s="52">
        <f t="shared" si="76"/>
        <v>6186.2</v>
      </c>
      <c r="AB50" s="52">
        <f t="shared" si="76"/>
        <v>5613.4</v>
      </c>
      <c r="AC50" s="52">
        <f t="shared" si="76"/>
        <v>8286.4</v>
      </c>
      <c r="AD50" s="52">
        <f t="shared" si="76"/>
        <v>11455.9</v>
      </c>
      <c r="AE50" s="48">
        <f t="shared" si="64"/>
        <v>3884.4</v>
      </c>
      <c r="AF50" s="116">
        <f>RCF!C$13</f>
        <v>14.94</v>
      </c>
      <c r="AG50" s="52">
        <f t="shared" si="65"/>
        <v>6409.3</v>
      </c>
      <c r="AH50" s="52">
        <f t="shared" si="65"/>
        <v>8157.2</v>
      </c>
      <c r="AI50" s="52">
        <f t="shared" si="65"/>
        <v>11653.2</v>
      </c>
      <c r="AJ50" s="48">
        <f t="shared" si="66"/>
        <v>3875.8</v>
      </c>
      <c r="AK50" s="116">
        <f>RCF!C$25</f>
        <v>14.907142857142857</v>
      </c>
      <c r="AL50" s="48">
        <f t="shared" si="67"/>
        <v>3974.2</v>
      </c>
      <c r="AM50" s="116">
        <f>RCF!C$29</f>
        <v>15.285714285714286</v>
      </c>
      <c r="AN50" s="48">
        <f t="shared" si="68"/>
        <v>4115.2</v>
      </c>
      <c r="AO50" s="116">
        <f>RCF!C$33</f>
        <v>15.827999999999999</v>
      </c>
      <c r="AP50" s="52">
        <f t="shared" si="69"/>
        <v>6172.8</v>
      </c>
      <c r="AQ50" s="48">
        <f t="shared" si="70"/>
        <v>4100.2</v>
      </c>
      <c r="AR50" s="116">
        <f>RCF!C$35</f>
        <v>15.77</v>
      </c>
      <c r="AS50" s="52">
        <f t="shared" si="71"/>
        <v>5330.2</v>
      </c>
      <c r="AT50" s="52">
        <f t="shared" si="71"/>
        <v>5945.2</v>
      </c>
      <c r="AU50" s="48">
        <f t="shared" si="72"/>
        <v>4057.8</v>
      </c>
      <c r="AV50" s="116">
        <f>RCF!C$37</f>
        <v>15.607142857142858</v>
      </c>
      <c r="AW50" s="48">
        <f t="shared" si="73"/>
        <v>4126.8999999999996</v>
      </c>
      <c r="AX50" s="116">
        <f>RCF!C$39</f>
        <v>15.872999999999999</v>
      </c>
      <c r="AY50" s="48">
        <f t="shared" si="74"/>
        <v>3983.2</v>
      </c>
      <c r="AZ50" s="116">
        <f>RCF!C$41</f>
        <v>15.32</v>
      </c>
    </row>
    <row r="51" spans="1:52" x14ac:dyDescent="0.2">
      <c r="A51" s="70">
        <v>1277</v>
      </c>
      <c r="B51" s="54" t="s">
        <v>157</v>
      </c>
      <c r="C51" s="55">
        <v>140</v>
      </c>
      <c r="D51" s="48">
        <f t="shared" si="53"/>
        <v>7861</v>
      </c>
      <c r="E51" s="47">
        <f>RCF!C$43</f>
        <v>56.150171999999998</v>
      </c>
      <c r="F51" s="48">
        <f t="shared" si="54"/>
        <v>2121.6999999999998</v>
      </c>
      <c r="G51" s="116">
        <f>RCF!C$5</f>
        <v>15.154999999999999</v>
      </c>
      <c r="H51" s="48">
        <f t="shared" si="55"/>
        <v>2121.6999999999998</v>
      </c>
      <c r="I51" s="116">
        <f t="shared" si="56"/>
        <v>15.154999999999999</v>
      </c>
      <c r="J51" s="52">
        <f t="shared" ref="J51:P64" si="77">ROUND($C51*$I51*J$6,1)</f>
        <v>2333.9</v>
      </c>
      <c r="K51" s="52">
        <f t="shared" si="77"/>
        <v>2906.7</v>
      </c>
      <c r="L51" s="52">
        <f t="shared" si="77"/>
        <v>3118.9</v>
      </c>
      <c r="M51" s="52">
        <f t="shared" si="77"/>
        <v>3437.2</v>
      </c>
      <c r="N51" s="52">
        <f t="shared" si="77"/>
        <v>4243.3999999999996</v>
      </c>
      <c r="O51" s="52">
        <f t="shared" si="77"/>
        <v>4561.7</v>
      </c>
      <c r="P51" s="52">
        <f t="shared" si="77"/>
        <v>6365.1</v>
      </c>
      <c r="Q51" s="48">
        <f t="shared" si="58"/>
        <v>2087.4</v>
      </c>
      <c r="R51" s="116">
        <f>RCF!C$7</f>
        <v>14.91</v>
      </c>
      <c r="S51" s="52">
        <f t="shared" ref="S51:T64" si="78">ROUNDDOWN($Q51*S$6,1)</f>
        <v>2713.6</v>
      </c>
      <c r="T51" s="52">
        <f t="shared" si="78"/>
        <v>3131.1</v>
      </c>
      <c r="U51" s="48">
        <f t="shared" si="60"/>
        <v>2056.1</v>
      </c>
      <c r="V51" s="116">
        <f>RCF!C$9</f>
        <v>14.686999999999999</v>
      </c>
      <c r="W51" s="48">
        <f t="shared" si="61"/>
        <v>2056.1</v>
      </c>
      <c r="X51" s="116">
        <f>RCF!C$9</f>
        <v>14.686999999999999</v>
      </c>
      <c r="Y51" s="52">
        <f t="shared" si="62"/>
        <v>2261.6999999999998</v>
      </c>
      <c r="Z51" s="52">
        <f t="shared" ref="Z51:AD64" si="79">ROUND($C51*$X51*Z$6,1)</f>
        <v>2817</v>
      </c>
      <c r="AA51" s="52">
        <f t="shared" si="79"/>
        <v>3331</v>
      </c>
      <c r="AB51" s="52">
        <f t="shared" si="79"/>
        <v>3022.6</v>
      </c>
      <c r="AC51" s="52">
        <f t="shared" si="79"/>
        <v>4461.8999999999996</v>
      </c>
      <c r="AD51" s="52">
        <f t="shared" si="79"/>
        <v>6168.5</v>
      </c>
      <c r="AE51" s="48">
        <f t="shared" si="64"/>
        <v>2091.6</v>
      </c>
      <c r="AF51" s="116">
        <f>RCF!C$13</f>
        <v>14.94</v>
      </c>
      <c r="AG51" s="52">
        <f t="shared" ref="AG51:AI64" si="80">ROUND($AE51*AG$6,1)</f>
        <v>3451.1</v>
      </c>
      <c r="AH51" s="52">
        <f t="shared" si="80"/>
        <v>4392.3999999999996</v>
      </c>
      <c r="AI51" s="52">
        <f t="shared" si="80"/>
        <v>6274.8</v>
      </c>
      <c r="AJ51" s="48">
        <f t="shared" si="66"/>
        <v>2087</v>
      </c>
      <c r="AK51" s="116">
        <f>RCF!C$25</f>
        <v>14.907142857142857</v>
      </c>
      <c r="AL51" s="48">
        <f t="shared" si="67"/>
        <v>2140</v>
      </c>
      <c r="AM51" s="116">
        <f>RCF!C$29</f>
        <v>15.285714285714286</v>
      </c>
      <c r="AN51" s="48">
        <f t="shared" si="68"/>
        <v>2215.9</v>
      </c>
      <c r="AO51" s="116">
        <f>RCF!C$33</f>
        <v>15.827999999999999</v>
      </c>
      <c r="AP51" s="52">
        <f t="shared" si="69"/>
        <v>3323.8</v>
      </c>
      <c r="AQ51" s="48">
        <f t="shared" si="70"/>
        <v>2207.8000000000002</v>
      </c>
      <c r="AR51" s="116">
        <f>RCF!C$35</f>
        <v>15.77</v>
      </c>
      <c r="AS51" s="52">
        <f t="shared" ref="AS51:AT64" si="81">ROUNDDOWN($AQ51*AS$6,1)</f>
        <v>2870.1</v>
      </c>
      <c r="AT51" s="52">
        <f t="shared" si="81"/>
        <v>3201.3</v>
      </c>
      <c r="AU51" s="48">
        <f t="shared" si="72"/>
        <v>2185</v>
      </c>
      <c r="AV51" s="116">
        <f>RCF!C$37</f>
        <v>15.607142857142858</v>
      </c>
      <c r="AW51" s="48">
        <f t="shared" si="73"/>
        <v>2222.1999999999998</v>
      </c>
      <c r="AX51" s="116">
        <f>RCF!C$39</f>
        <v>15.872999999999999</v>
      </c>
      <c r="AY51" s="48">
        <f t="shared" si="74"/>
        <v>2144.8000000000002</v>
      </c>
      <c r="AZ51" s="116">
        <f>RCF!C$41</f>
        <v>15.32</v>
      </c>
    </row>
    <row r="52" spans="1:52" ht="25.5" x14ac:dyDescent="0.2">
      <c r="A52" s="70">
        <v>1278</v>
      </c>
      <c r="B52" s="54" t="s">
        <v>37</v>
      </c>
      <c r="C52" s="55">
        <v>60</v>
      </c>
      <c r="D52" s="48">
        <f t="shared" si="53"/>
        <v>3369</v>
      </c>
      <c r="E52" s="47">
        <f>RCF!C$43</f>
        <v>56.150171999999998</v>
      </c>
      <c r="F52" s="48">
        <f t="shared" si="54"/>
        <v>909.3</v>
      </c>
      <c r="G52" s="116">
        <f>RCF!C$5</f>
        <v>15.154999999999999</v>
      </c>
      <c r="H52" s="48">
        <f t="shared" si="55"/>
        <v>909.3</v>
      </c>
      <c r="I52" s="116">
        <f t="shared" si="56"/>
        <v>15.154999999999999</v>
      </c>
      <c r="J52" s="52">
        <f t="shared" si="77"/>
        <v>1000.2</v>
      </c>
      <c r="K52" s="52">
        <f t="shared" si="77"/>
        <v>1245.7</v>
      </c>
      <c r="L52" s="52">
        <f t="shared" si="77"/>
        <v>1336.7</v>
      </c>
      <c r="M52" s="52">
        <f t="shared" si="77"/>
        <v>1473.1</v>
      </c>
      <c r="N52" s="52">
        <f t="shared" si="77"/>
        <v>1818.6</v>
      </c>
      <c r="O52" s="52">
        <f t="shared" si="77"/>
        <v>1955</v>
      </c>
      <c r="P52" s="52">
        <f t="shared" si="77"/>
        <v>2727.9</v>
      </c>
      <c r="Q52" s="48">
        <f t="shared" si="58"/>
        <v>894.6</v>
      </c>
      <c r="R52" s="116">
        <f>RCF!C$7</f>
        <v>14.91</v>
      </c>
      <c r="S52" s="52">
        <f t="shared" si="78"/>
        <v>1162.9000000000001</v>
      </c>
      <c r="T52" s="52">
        <f t="shared" si="78"/>
        <v>1341.9</v>
      </c>
      <c r="U52" s="48">
        <f t="shared" si="60"/>
        <v>881.2</v>
      </c>
      <c r="V52" s="116">
        <f>RCF!C$9</f>
        <v>14.686999999999999</v>
      </c>
      <c r="W52" s="48">
        <f t="shared" si="61"/>
        <v>881.2</v>
      </c>
      <c r="X52" s="116">
        <f>RCF!C$9</f>
        <v>14.686999999999999</v>
      </c>
      <c r="Y52" s="52">
        <f t="shared" si="62"/>
        <v>969.3</v>
      </c>
      <c r="Z52" s="52">
        <f t="shared" si="79"/>
        <v>1207.3</v>
      </c>
      <c r="AA52" s="52">
        <f t="shared" si="79"/>
        <v>1427.6</v>
      </c>
      <c r="AB52" s="52">
        <f t="shared" si="79"/>
        <v>1295.4000000000001</v>
      </c>
      <c r="AC52" s="52">
        <f t="shared" si="79"/>
        <v>1912.2</v>
      </c>
      <c r="AD52" s="52">
        <f t="shared" si="79"/>
        <v>2643.7</v>
      </c>
      <c r="AE52" s="48">
        <f t="shared" si="64"/>
        <v>896.4</v>
      </c>
      <c r="AF52" s="116">
        <f>RCF!C$13</f>
        <v>14.94</v>
      </c>
      <c r="AG52" s="52">
        <f t="shared" si="80"/>
        <v>1479.1</v>
      </c>
      <c r="AH52" s="52">
        <f t="shared" si="80"/>
        <v>1882.4</v>
      </c>
      <c r="AI52" s="52">
        <f t="shared" si="80"/>
        <v>2689.2</v>
      </c>
      <c r="AJ52" s="48">
        <f t="shared" si="66"/>
        <v>894.4</v>
      </c>
      <c r="AK52" s="116">
        <f>RCF!C$25</f>
        <v>14.907142857142857</v>
      </c>
      <c r="AL52" s="48">
        <f t="shared" si="67"/>
        <v>917.1</v>
      </c>
      <c r="AM52" s="116">
        <f>RCF!C$29</f>
        <v>15.285714285714286</v>
      </c>
      <c r="AN52" s="48">
        <f t="shared" si="68"/>
        <v>949.6</v>
      </c>
      <c r="AO52" s="116">
        <f>RCF!C$33</f>
        <v>15.827999999999999</v>
      </c>
      <c r="AP52" s="52">
        <f t="shared" si="69"/>
        <v>1424.4</v>
      </c>
      <c r="AQ52" s="48">
        <f t="shared" si="70"/>
        <v>946.2</v>
      </c>
      <c r="AR52" s="116">
        <f>RCF!C$35</f>
        <v>15.77</v>
      </c>
      <c r="AS52" s="52">
        <f t="shared" si="81"/>
        <v>1230</v>
      </c>
      <c r="AT52" s="52">
        <f t="shared" si="81"/>
        <v>1371.9</v>
      </c>
      <c r="AU52" s="48">
        <f t="shared" si="72"/>
        <v>936.4</v>
      </c>
      <c r="AV52" s="116">
        <f>RCF!C$37</f>
        <v>15.607142857142858</v>
      </c>
      <c r="AW52" s="48">
        <f t="shared" si="73"/>
        <v>952.3</v>
      </c>
      <c r="AX52" s="116">
        <f>RCF!C$39</f>
        <v>15.872999999999999</v>
      </c>
      <c r="AY52" s="48">
        <f t="shared" si="74"/>
        <v>919.2</v>
      </c>
      <c r="AZ52" s="116">
        <f>RCF!C$41</f>
        <v>15.32</v>
      </c>
    </row>
    <row r="53" spans="1:52" ht="25.5" x14ac:dyDescent="0.2">
      <c r="A53" s="70">
        <v>1280</v>
      </c>
      <c r="B53" s="54" t="s">
        <v>158</v>
      </c>
      <c r="C53" s="55">
        <v>60</v>
      </c>
      <c r="D53" s="48">
        <f t="shared" si="53"/>
        <v>3369</v>
      </c>
      <c r="E53" s="47">
        <f>RCF!C$43</f>
        <v>56.150171999999998</v>
      </c>
      <c r="F53" s="48">
        <f t="shared" si="54"/>
        <v>909.3</v>
      </c>
      <c r="G53" s="116">
        <f>RCF!C$5</f>
        <v>15.154999999999999</v>
      </c>
      <c r="H53" s="48">
        <f t="shared" si="55"/>
        <v>909.3</v>
      </c>
      <c r="I53" s="116">
        <f t="shared" si="56"/>
        <v>15.154999999999999</v>
      </c>
      <c r="J53" s="52">
        <f t="shared" si="77"/>
        <v>1000.2</v>
      </c>
      <c r="K53" s="52">
        <f t="shared" si="77"/>
        <v>1245.7</v>
      </c>
      <c r="L53" s="52">
        <f t="shared" si="77"/>
        <v>1336.7</v>
      </c>
      <c r="M53" s="52">
        <f t="shared" si="77"/>
        <v>1473.1</v>
      </c>
      <c r="N53" s="52">
        <f t="shared" si="77"/>
        <v>1818.6</v>
      </c>
      <c r="O53" s="52">
        <f t="shared" si="77"/>
        <v>1955</v>
      </c>
      <c r="P53" s="52">
        <f t="shared" si="77"/>
        <v>2727.9</v>
      </c>
      <c r="Q53" s="48">
        <f t="shared" si="58"/>
        <v>894.6</v>
      </c>
      <c r="R53" s="116">
        <f>RCF!C$7</f>
        <v>14.91</v>
      </c>
      <c r="S53" s="52">
        <f t="shared" si="78"/>
        <v>1162.9000000000001</v>
      </c>
      <c r="T53" s="52">
        <f t="shared" si="78"/>
        <v>1341.9</v>
      </c>
      <c r="U53" s="48">
        <f t="shared" si="60"/>
        <v>881.2</v>
      </c>
      <c r="V53" s="116">
        <f>RCF!C$9</f>
        <v>14.686999999999999</v>
      </c>
      <c r="W53" s="48">
        <f t="shared" si="61"/>
        <v>881.2</v>
      </c>
      <c r="X53" s="116">
        <f>RCF!C$9</f>
        <v>14.686999999999999</v>
      </c>
      <c r="Y53" s="52">
        <f t="shared" si="62"/>
        <v>969.3</v>
      </c>
      <c r="Z53" s="52">
        <f t="shared" si="79"/>
        <v>1207.3</v>
      </c>
      <c r="AA53" s="52">
        <f t="shared" si="79"/>
        <v>1427.6</v>
      </c>
      <c r="AB53" s="52">
        <f t="shared" si="79"/>
        <v>1295.4000000000001</v>
      </c>
      <c r="AC53" s="52">
        <f t="shared" si="79"/>
        <v>1912.2</v>
      </c>
      <c r="AD53" s="52">
        <f t="shared" si="79"/>
        <v>2643.7</v>
      </c>
      <c r="AE53" s="48">
        <f t="shared" si="64"/>
        <v>896.4</v>
      </c>
      <c r="AF53" s="116">
        <f>RCF!C$13</f>
        <v>14.94</v>
      </c>
      <c r="AG53" s="52">
        <f t="shared" si="80"/>
        <v>1479.1</v>
      </c>
      <c r="AH53" s="52">
        <f t="shared" si="80"/>
        <v>1882.4</v>
      </c>
      <c r="AI53" s="52">
        <f t="shared" si="80"/>
        <v>2689.2</v>
      </c>
      <c r="AJ53" s="48">
        <f t="shared" si="66"/>
        <v>894.4</v>
      </c>
      <c r="AK53" s="116">
        <f>RCF!C$25</f>
        <v>14.907142857142857</v>
      </c>
      <c r="AL53" s="48">
        <f t="shared" si="67"/>
        <v>917.1</v>
      </c>
      <c r="AM53" s="116">
        <f>RCF!C$29</f>
        <v>15.285714285714286</v>
      </c>
      <c r="AN53" s="48">
        <f t="shared" si="68"/>
        <v>949.6</v>
      </c>
      <c r="AO53" s="116">
        <f>RCF!C$33</f>
        <v>15.827999999999999</v>
      </c>
      <c r="AP53" s="52">
        <f t="shared" si="69"/>
        <v>1424.4</v>
      </c>
      <c r="AQ53" s="48">
        <f t="shared" si="70"/>
        <v>946.2</v>
      </c>
      <c r="AR53" s="116">
        <f>RCF!C$35</f>
        <v>15.77</v>
      </c>
      <c r="AS53" s="52">
        <f t="shared" si="81"/>
        <v>1230</v>
      </c>
      <c r="AT53" s="52">
        <f t="shared" si="81"/>
        <v>1371.9</v>
      </c>
      <c r="AU53" s="48">
        <f t="shared" si="72"/>
        <v>936.4</v>
      </c>
      <c r="AV53" s="116">
        <f>RCF!C$37</f>
        <v>15.607142857142858</v>
      </c>
      <c r="AW53" s="48">
        <f t="shared" si="73"/>
        <v>952.3</v>
      </c>
      <c r="AX53" s="116">
        <f>RCF!C$39</f>
        <v>15.872999999999999</v>
      </c>
      <c r="AY53" s="48">
        <f t="shared" si="74"/>
        <v>919.2</v>
      </c>
      <c r="AZ53" s="116">
        <f>RCF!C$41</f>
        <v>15.32</v>
      </c>
    </row>
    <row r="54" spans="1:52" x14ac:dyDescent="0.2">
      <c r="A54" s="70">
        <v>1284</v>
      </c>
      <c r="B54" s="54" t="s">
        <v>159</v>
      </c>
      <c r="C54" s="55">
        <v>300</v>
      </c>
      <c r="D54" s="48">
        <f t="shared" si="53"/>
        <v>16845.099999999999</v>
      </c>
      <c r="E54" s="47">
        <f>RCF!C$43</f>
        <v>56.150171999999998</v>
      </c>
      <c r="F54" s="48">
        <f t="shared" si="54"/>
        <v>4546.5</v>
      </c>
      <c r="G54" s="116">
        <f>RCF!C$5</f>
        <v>15.154999999999999</v>
      </c>
      <c r="H54" s="48">
        <f t="shared" si="55"/>
        <v>4546.5</v>
      </c>
      <c r="I54" s="116">
        <f t="shared" si="56"/>
        <v>15.154999999999999</v>
      </c>
      <c r="J54" s="52">
        <f t="shared" si="77"/>
        <v>5001.2</v>
      </c>
      <c r="K54" s="52">
        <f t="shared" si="77"/>
        <v>6228.7</v>
      </c>
      <c r="L54" s="52">
        <f t="shared" si="77"/>
        <v>6683.4</v>
      </c>
      <c r="M54" s="52">
        <f t="shared" si="77"/>
        <v>7365.3</v>
      </c>
      <c r="N54" s="52">
        <f t="shared" si="77"/>
        <v>9093</v>
      </c>
      <c r="O54" s="52">
        <f t="shared" si="77"/>
        <v>9775</v>
      </c>
      <c r="P54" s="52">
        <f t="shared" si="77"/>
        <v>13639.5</v>
      </c>
      <c r="Q54" s="48">
        <f t="shared" si="58"/>
        <v>4473</v>
      </c>
      <c r="R54" s="116">
        <f>RCF!C$7</f>
        <v>14.91</v>
      </c>
      <c r="S54" s="52">
        <f t="shared" si="78"/>
        <v>5814.9</v>
      </c>
      <c r="T54" s="52">
        <f t="shared" si="78"/>
        <v>6709.5</v>
      </c>
      <c r="U54" s="48">
        <f t="shared" si="60"/>
        <v>4406.1000000000004</v>
      </c>
      <c r="V54" s="116">
        <f>RCF!C$9</f>
        <v>14.686999999999999</v>
      </c>
      <c r="W54" s="48">
        <f t="shared" si="61"/>
        <v>4406.1000000000004</v>
      </c>
      <c r="X54" s="116">
        <f>RCF!C$9</f>
        <v>14.686999999999999</v>
      </c>
      <c r="Y54" s="52">
        <f t="shared" si="62"/>
        <v>4846.7</v>
      </c>
      <c r="Z54" s="52">
        <f t="shared" si="79"/>
        <v>6036.4</v>
      </c>
      <c r="AA54" s="52">
        <f t="shared" si="79"/>
        <v>7137.9</v>
      </c>
      <c r="AB54" s="52">
        <f t="shared" si="79"/>
        <v>6477</v>
      </c>
      <c r="AC54" s="52">
        <f t="shared" si="79"/>
        <v>9561.2000000000007</v>
      </c>
      <c r="AD54" s="52">
        <f t="shared" si="79"/>
        <v>13218.3</v>
      </c>
      <c r="AE54" s="48">
        <f t="shared" si="64"/>
        <v>4482</v>
      </c>
      <c r="AF54" s="116">
        <f>RCF!C$13</f>
        <v>14.94</v>
      </c>
      <c r="AG54" s="52">
        <f t="shared" si="80"/>
        <v>7395.3</v>
      </c>
      <c r="AH54" s="52">
        <f t="shared" si="80"/>
        <v>9412.2000000000007</v>
      </c>
      <c r="AI54" s="52">
        <f t="shared" si="80"/>
        <v>13446</v>
      </c>
      <c r="AJ54" s="48">
        <f t="shared" si="66"/>
        <v>4472.1000000000004</v>
      </c>
      <c r="AK54" s="116">
        <f>RCF!C$25</f>
        <v>14.907142857142857</v>
      </c>
      <c r="AL54" s="48">
        <f t="shared" si="67"/>
        <v>4585.7</v>
      </c>
      <c r="AM54" s="116">
        <f>RCF!C$29</f>
        <v>15.285714285714286</v>
      </c>
      <c r="AN54" s="48">
        <f t="shared" si="68"/>
        <v>4748.3999999999996</v>
      </c>
      <c r="AO54" s="116">
        <f>RCF!C$33</f>
        <v>15.827999999999999</v>
      </c>
      <c r="AP54" s="52">
        <f t="shared" si="69"/>
        <v>7122.6</v>
      </c>
      <c r="AQ54" s="48">
        <f t="shared" si="70"/>
        <v>4731</v>
      </c>
      <c r="AR54" s="116">
        <f>RCF!C$35</f>
        <v>15.77</v>
      </c>
      <c r="AS54" s="52">
        <f t="shared" si="81"/>
        <v>6150.3</v>
      </c>
      <c r="AT54" s="52">
        <f t="shared" si="81"/>
        <v>6859.9</v>
      </c>
      <c r="AU54" s="48">
        <f t="shared" si="72"/>
        <v>4682.1000000000004</v>
      </c>
      <c r="AV54" s="116">
        <f>RCF!C$37</f>
        <v>15.607142857142858</v>
      </c>
      <c r="AW54" s="48">
        <f t="shared" si="73"/>
        <v>4761.8999999999996</v>
      </c>
      <c r="AX54" s="116">
        <f>RCF!C$39</f>
        <v>15.872999999999999</v>
      </c>
      <c r="AY54" s="48">
        <f t="shared" si="74"/>
        <v>4596</v>
      </c>
      <c r="AZ54" s="116">
        <f>RCF!C$41</f>
        <v>15.32</v>
      </c>
    </row>
    <row r="55" spans="1:52" ht="25.5" x14ac:dyDescent="0.2">
      <c r="A55" s="70">
        <v>1286</v>
      </c>
      <c r="B55" s="71" t="s">
        <v>38</v>
      </c>
      <c r="C55" s="72">
        <v>100</v>
      </c>
      <c r="D55" s="48">
        <f t="shared" si="53"/>
        <v>5615</v>
      </c>
      <c r="E55" s="47">
        <f>RCF!C$43</f>
        <v>56.150171999999998</v>
      </c>
      <c r="F55" s="48">
        <f t="shared" si="54"/>
        <v>1515.5</v>
      </c>
      <c r="G55" s="116">
        <f>RCF!C$5</f>
        <v>15.154999999999999</v>
      </c>
      <c r="H55" s="48">
        <f t="shared" si="55"/>
        <v>1515.5</v>
      </c>
      <c r="I55" s="116">
        <f t="shared" si="56"/>
        <v>15.154999999999999</v>
      </c>
      <c r="J55" s="52">
        <f t="shared" si="77"/>
        <v>1667.1</v>
      </c>
      <c r="K55" s="52">
        <f t="shared" si="77"/>
        <v>2076.1999999999998</v>
      </c>
      <c r="L55" s="52">
        <f t="shared" si="77"/>
        <v>2227.8000000000002</v>
      </c>
      <c r="M55" s="52">
        <f t="shared" si="77"/>
        <v>2455.1</v>
      </c>
      <c r="N55" s="52">
        <f t="shared" si="77"/>
        <v>3031</v>
      </c>
      <c r="O55" s="52">
        <f t="shared" si="77"/>
        <v>3258.3</v>
      </c>
      <c r="P55" s="52">
        <f t="shared" si="77"/>
        <v>4546.5</v>
      </c>
      <c r="Q55" s="48">
        <f t="shared" si="58"/>
        <v>1491</v>
      </c>
      <c r="R55" s="116">
        <f>RCF!C$7</f>
        <v>14.91</v>
      </c>
      <c r="S55" s="52">
        <f t="shared" si="78"/>
        <v>1938.3</v>
      </c>
      <c r="T55" s="52">
        <f t="shared" si="78"/>
        <v>2236.5</v>
      </c>
      <c r="U55" s="48">
        <f t="shared" si="60"/>
        <v>1468.7</v>
      </c>
      <c r="V55" s="116">
        <f>RCF!C$9</f>
        <v>14.686999999999999</v>
      </c>
      <c r="W55" s="48">
        <f t="shared" si="61"/>
        <v>1468.7</v>
      </c>
      <c r="X55" s="116">
        <f>RCF!C$9</f>
        <v>14.686999999999999</v>
      </c>
      <c r="Y55" s="52">
        <f t="shared" si="62"/>
        <v>1615.5</v>
      </c>
      <c r="Z55" s="52">
        <f t="shared" si="79"/>
        <v>2012.1</v>
      </c>
      <c r="AA55" s="52">
        <f t="shared" si="79"/>
        <v>2379.3000000000002</v>
      </c>
      <c r="AB55" s="52">
        <f t="shared" si="79"/>
        <v>2159</v>
      </c>
      <c r="AC55" s="52">
        <f t="shared" si="79"/>
        <v>3187.1</v>
      </c>
      <c r="AD55" s="52">
        <f t="shared" si="79"/>
        <v>4406.1000000000004</v>
      </c>
      <c r="AE55" s="48">
        <f t="shared" si="64"/>
        <v>1494</v>
      </c>
      <c r="AF55" s="116">
        <f>RCF!C$13</f>
        <v>14.94</v>
      </c>
      <c r="AG55" s="52">
        <f t="shared" si="80"/>
        <v>2465.1</v>
      </c>
      <c r="AH55" s="52">
        <f t="shared" si="80"/>
        <v>3137.4</v>
      </c>
      <c r="AI55" s="52">
        <f t="shared" si="80"/>
        <v>4482</v>
      </c>
      <c r="AJ55" s="48">
        <f t="shared" si="66"/>
        <v>1490.7</v>
      </c>
      <c r="AK55" s="116">
        <f>RCF!C$25</f>
        <v>14.907142857142857</v>
      </c>
      <c r="AL55" s="48">
        <f t="shared" si="67"/>
        <v>1528.5</v>
      </c>
      <c r="AM55" s="116">
        <f>RCF!C$29</f>
        <v>15.285714285714286</v>
      </c>
      <c r="AN55" s="48">
        <f t="shared" si="68"/>
        <v>1582.8</v>
      </c>
      <c r="AO55" s="116">
        <f>RCF!C$33</f>
        <v>15.827999999999999</v>
      </c>
      <c r="AP55" s="52">
        <f t="shared" si="69"/>
        <v>2374.1999999999998</v>
      </c>
      <c r="AQ55" s="48">
        <f t="shared" si="70"/>
        <v>1577</v>
      </c>
      <c r="AR55" s="116">
        <f>RCF!C$35</f>
        <v>15.77</v>
      </c>
      <c r="AS55" s="52">
        <f t="shared" si="81"/>
        <v>2050.1</v>
      </c>
      <c r="AT55" s="52">
        <f t="shared" si="81"/>
        <v>2286.6</v>
      </c>
      <c r="AU55" s="48">
        <f t="shared" si="72"/>
        <v>1560.7</v>
      </c>
      <c r="AV55" s="116">
        <f>RCF!C$37</f>
        <v>15.607142857142858</v>
      </c>
      <c r="AW55" s="48">
        <f t="shared" si="73"/>
        <v>1587.3</v>
      </c>
      <c r="AX55" s="116">
        <f>RCF!C$39</f>
        <v>15.872999999999999</v>
      </c>
      <c r="AY55" s="48">
        <f t="shared" si="74"/>
        <v>1532</v>
      </c>
      <c r="AZ55" s="116">
        <f>RCF!C$41</f>
        <v>15.32</v>
      </c>
    </row>
    <row r="56" spans="1:52" x14ac:dyDescent="0.2">
      <c r="A56" s="70">
        <v>3557</v>
      </c>
      <c r="B56" s="54" t="s">
        <v>39</v>
      </c>
      <c r="C56" s="55">
        <v>81</v>
      </c>
      <c r="D56" s="48">
        <f t="shared" si="53"/>
        <v>4548.2</v>
      </c>
      <c r="E56" s="47">
        <f>RCF!C$43</f>
        <v>56.150171999999998</v>
      </c>
      <c r="F56" s="48">
        <f t="shared" si="54"/>
        <v>1227.5</v>
      </c>
      <c r="G56" s="116">
        <f>RCF!C$5</f>
        <v>15.154999999999999</v>
      </c>
      <c r="H56" s="48">
        <f t="shared" si="55"/>
        <v>1227.5999999999999</v>
      </c>
      <c r="I56" s="116">
        <f t="shared" si="56"/>
        <v>15.154999999999999</v>
      </c>
      <c r="J56" s="52">
        <f t="shared" si="77"/>
        <v>1350.3</v>
      </c>
      <c r="K56" s="52">
        <f t="shared" si="77"/>
        <v>1681.8</v>
      </c>
      <c r="L56" s="52">
        <f t="shared" si="77"/>
        <v>1804.5</v>
      </c>
      <c r="M56" s="52">
        <f t="shared" si="77"/>
        <v>1988.6</v>
      </c>
      <c r="N56" s="52">
        <f t="shared" si="77"/>
        <v>2455.1</v>
      </c>
      <c r="O56" s="52">
        <f t="shared" si="77"/>
        <v>2639.2</v>
      </c>
      <c r="P56" s="52">
        <f t="shared" si="77"/>
        <v>3682.7</v>
      </c>
      <c r="Q56" s="48">
        <f t="shared" si="58"/>
        <v>1207.7</v>
      </c>
      <c r="R56" s="116">
        <f>RCF!C$7</f>
        <v>14.91</v>
      </c>
      <c r="S56" s="52">
        <f t="shared" si="78"/>
        <v>1570</v>
      </c>
      <c r="T56" s="52">
        <f t="shared" si="78"/>
        <v>1811.5</v>
      </c>
      <c r="U56" s="48">
        <f t="shared" si="60"/>
        <v>1189.5999999999999</v>
      </c>
      <c r="V56" s="116">
        <f>RCF!C$9</f>
        <v>14.686999999999999</v>
      </c>
      <c r="W56" s="48">
        <f t="shared" si="61"/>
        <v>1189.5999999999999</v>
      </c>
      <c r="X56" s="116">
        <f>RCF!C$9</f>
        <v>14.686999999999999</v>
      </c>
      <c r="Y56" s="52">
        <f t="shared" si="62"/>
        <v>1308.5</v>
      </c>
      <c r="Z56" s="52">
        <f t="shared" si="79"/>
        <v>1629.8</v>
      </c>
      <c r="AA56" s="52">
        <f t="shared" si="79"/>
        <v>1927.2</v>
      </c>
      <c r="AB56" s="52">
        <f t="shared" si="79"/>
        <v>1748.8</v>
      </c>
      <c r="AC56" s="52">
        <f t="shared" si="79"/>
        <v>2581.5</v>
      </c>
      <c r="AD56" s="52">
        <f t="shared" si="79"/>
        <v>3568.9</v>
      </c>
      <c r="AE56" s="48">
        <f t="shared" si="64"/>
        <v>1210.0999999999999</v>
      </c>
      <c r="AF56" s="116">
        <f>RCF!C$13</f>
        <v>14.94</v>
      </c>
      <c r="AG56" s="52">
        <f t="shared" si="80"/>
        <v>1996.7</v>
      </c>
      <c r="AH56" s="52">
        <f t="shared" si="80"/>
        <v>2541.1999999999998</v>
      </c>
      <c r="AI56" s="52">
        <f t="shared" si="80"/>
        <v>3630.3</v>
      </c>
      <c r="AJ56" s="48">
        <f t="shared" si="66"/>
        <v>1207.4000000000001</v>
      </c>
      <c r="AK56" s="116">
        <f>RCF!C$25</f>
        <v>14.907142857142857</v>
      </c>
      <c r="AL56" s="48">
        <f t="shared" si="67"/>
        <v>1238.0999999999999</v>
      </c>
      <c r="AM56" s="116">
        <f>RCF!C$29</f>
        <v>15.285714285714286</v>
      </c>
      <c r="AN56" s="48">
        <f t="shared" si="68"/>
        <v>1282</v>
      </c>
      <c r="AO56" s="116">
        <f>RCF!C$33</f>
        <v>15.827999999999999</v>
      </c>
      <c r="AP56" s="52">
        <f t="shared" si="69"/>
        <v>1923</v>
      </c>
      <c r="AQ56" s="48">
        <f t="shared" si="70"/>
        <v>1277.3</v>
      </c>
      <c r="AR56" s="116">
        <f>RCF!C$35</f>
        <v>15.77</v>
      </c>
      <c r="AS56" s="52">
        <f t="shared" si="81"/>
        <v>1660.4</v>
      </c>
      <c r="AT56" s="52">
        <f t="shared" si="81"/>
        <v>1852</v>
      </c>
      <c r="AU56" s="48">
        <f t="shared" si="72"/>
        <v>1264.0999999999999</v>
      </c>
      <c r="AV56" s="116">
        <f>RCF!C$37</f>
        <v>15.607142857142858</v>
      </c>
      <c r="AW56" s="48">
        <f t="shared" si="73"/>
        <v>1285.7</v>
      </c>
      <c r="AX56" s="116">
        <f>RCF!C$39</f>
        <v>15.872999999999999</v>
      </c>
      <c r="AY56" s="48">
        <f t="shared" si="74"/>
        <v>1240.9000000000001</v>
      </c>
      <c r="AZ56" s="116">
        <f>RCF!C$41</f>
        <v>15.32</v>
      </c>
    </row>
    <row r="57" spans="1:52" x14ac:dyDescent="0.2">
      <c r="A57" s="70">
        <v>3559</v>
      </c>
      <c r="B57" s="71" t="s">
        <v>40</v>
      </c>
      <c r="C57" s="72">
        <v>95</v>
      </c>
      <c r="D57" s="48">
        <f t="shared" si="53"/>
        <v>5334.3</v>
      </c>
      <c r="E57" s="47">
        <f>RCF!C$43</f>
        <v>56.150171999999998</v>
      </c>
      <c r="F57" s="48">
        <f t="shared" si="54"/>
        <v>1439.7</v>
      </c>
      <c r="G57" s="116">
        <f>RCF!C$5</f>
        <v>15.154999999999999</v>
      </c>
      <c r="H57" s="48">
        <f t="shared" si="55"/>
        <v>1439.7</v>
      </c>
      <c r="I57" s="116">
        <f t="shared" si="56"/>
        <v>15.154999999999999</v>
      </c>
      <c r="J57" s="52">
        <f t="shared" si="77"/>
        <v>1583.7</v>
      </c>
      <c r="K57" s="52">
        <f t="shared" si="77"/>
        <v>1972.4</v>
      </c>
      <c r="L57" s="52">
        <f t="shared" si="77"/>
        <v>2116.4</v>
      </c>
      <c r="M57" s="52">
        <f t="shared" si="77"/>
        <v>2332.4</v>
      </c>
      <c r="N57" s="52">
        <f t="shared" si="77"/>
        <v>2879.5</v>
      </c>
      <c r="O57" s="52">
        <f t="shared" si="77"/>
        <v>3095.4</v>
      </c>
      <c r="P57" s="52">
        <f t="shared" si="77"/>
        <v>4319.2</v>
      </c>
      <c r="Q57" s="48">
        <f t="shared" si="58"/>
        <v>1416.4</v>
      </c>
      <c r="R57" s="116">
        <f>RCF!C$7</f>
        <v>14.91</v>
      </c>
      <c r="S57" s="52">
        <f t="shared" si="78"/>
        <v>1841.3</v>
      </c>
      <c r="T57" s="52">
        <f t="shared" si="78"/>
        <v>2124.6</v>
      </c>
      <c r="U57" s="48">
        <f t="shared" si="60"/>
        <v>1395.2</v>
      </c>
      <c r="V57" s="116">
        <f>RCF!C$9</f>
        <v>14.686999999999999</v>
      </c>
      <c r="W57" s="48">
        <f t="shared" si="61"/>
        <v>1395.2</v>
      </c>
      <c r="X57" s="116">
        <f>RCF!C$9</f>
        <v>14.686999999999999</v>
      </c>
      <c r="Y57" s="52">
        <f t="shared" si="62"/>
        <v>1534.7</v>
      </c>
      <c r="Z57" s="52">
        <f t="shared" si="79"/>
        <v>1911.5</v>
      </c>
      <c r="AA57" s="52">
        <f t="shared" si="79"/>
        <v>2260.3000000000002</v>
      </c>
      <c r="AB57" s="52">
        <f t="shared" si="79"/>
        <v>2051</v>
      </c>
      <c r="AC57" s="52">
        <f t="shared" si="79"/>
        <v>3027.7</v>
      </c>
      <c r="AD57" s="52">
        <f t="shared" si="79"/>
        <v>4185.8</v>
      </c>
      <c r="AE57" s="48">
        <f t="shared" si="64"/>
        <v>1419.3</v>
      </c>
      <c r="AF57" s="116">
        <f>RCF!C$13</f>
        <v>14.94</v>
      </c>
      <c r="AG57" s="52">
        <f t="shared" si="80"/>
        <v>2341.8000000000002</v>
      </c>
      <c r="AH57" s="52">
        <f t="shared" si="80"/>
        <v>2980.5</v>
      </c>
      <c r="AI57" s="52">
        <f t="shared" si="80"/>
        <v>4257.8999999999996</v>
      </c>
      <c r="AJ57" s="48">
        <f t="shared" si="66"/>
        <v>1416.1</v>
      </c>
      <c r="AK57" s="116">
        <f>RCF!C$25</f>
        <v>14.907142857142857</v>
      </c>
      <c r="AL57" s="48">
        <f t="shared" si="67"/>
        <v>1452.1</v>
      </c>
      <c r="AM57" s="116">
        <f>RCF!C$29</f>
        <v>15.285714285714286</v>
      </c>
      <c r="AN57" s="48">
        <f t="shared" si="68"/>
        <v>1503.6</v>
      </c>
      <c r="AO57" s="116">
        <f>RCF!C$33</f>
        <v>15.827999999999999</v>
      </c>
      <c r="AP57" s="52">
        <f t="shared" si="69"/>
        <v>2255.4</v>
      </c>
      <c r="AQ57" s="48">
        <f t="shared" si="70"/>
        <v>1498.1</v>
      </c>
      <c r="AR57" s="116">
        <f>RCF!C$35</f>
        <v>15.77</v>
      </c>
      <c r="AS57" s="52">
        <f t="shared" si="81"/>
        <v>1947.5</v>
      </c>
      <c r="AT57" s="52">
        <f t="shared" si="81"/>
        <v>2172.1999999999998</v>
      </c>
      <c r="AU57" s="48">
        <f t="shared" si="72"/>
        <v>1482.6</v>
      </c>
      <c r="AV57" s="116">
        <f>RCF!C$37</f>
        <v>15.607142857142858</v>
      </c>
      <c r="AW57" s="48">
        <f t="shared" si="73"/>
        <v>1507.9</v>
      </c>
      <c r="AX57" s="116">
        <f>RCF!C$39</f>
        <v>15.872999999999999</v>
      </c>
      <c r="AY57" s="48">
        <f t="shared" si="74"/>
        <v>1455.4</v>
      </c>
      <c r="AZ57" s="116">
        <f>RCF!C$41</f>
        <v>15.32</v>
      </c>
    </row>
    <row r="58" spans="1:52" x14ac:dyDescent="0.2">
      <c r="A58" s="73" t="s">
        <v>164</v>
      </c>
      <c r="B58" s="71" t="s">
        <v>41</v>
      </c>
      <c r="C58" s="72">
        <v>50</v>
      </c>
      <c r="D58" s="74">
        <f t="shared" si="53"/>
        <v>730.2</v>
      </c>
      <c r="E58" s="75">
        <f>AZ58</f>
        <v>14.603</v>
      </c>
      <c r="F58" s="48">
        <f t="shared" si="54"/>
        <v>722.2</v>
      </c>
      <c r="G58" s="116">
        <f>RCF!F$5</f>
        <v>14.445</v>
      </c>
      <c r="H58" s="48">
        <f t="shared" si="55"/>
        <v>722.3</v>
      </c>
      <c r="I58" s="116">
        <f t="shared" si="56"/>
        <v>14.445</v>
      </c>
      <c r="J58" s="52">
        <f t="shared" si="77"/>
        <v>794.5</v>
      </c>
      <c r="K58" s="52">
        <f t="shared" si="77"/>
        <v>989.5</v>
      </c>
      <c r="L58" s="52">
        <f t="shared" si="77"/>
        <v>1061.7</v>
      </c>
      <c r="M58" s="52">
        <f t="shared" si="77"/>
        <v>1170</v>
      </c>
      <c r="N58" s="52">
        <f t="shared" si="77"/>
        <v>1444.5</v>
      </c>
      <c r="O58" s="52">
        <f t="shared" si="77"/>
        <v>1552.8</v>
      </c>
      <c r="P58" s="52">
        <f t="shared" si="77"/>
        <v>2166.8000000000002</v>
      </c>
      <c r="Q58" s="48">
        <f t="shared" si="58"/>
        <v>713</v>
      </c>
      <c r="R58" s="116">
        <f>RCF!F$7</f>
        <v>14.26</v>
      </c>
      <c r="S58" s="52">
        <f t="shared" si="78"/>
        <v>926.9</v>
      </c>
      <c r="T58" s="52">
        <f t="shared" si="78"/>
        <v>1069.5</v>
      </c>
      <c r="U58" s="48">
        <f t="shared" si="60"/>
        <v>700</v>
      </c>
      <c r="V58" s="116">
        <f>RCF!F$9</f>
        <v>14.000999999999999</v>
      </c>
      <c r="W58" s="48">
        <f t="shared" si="61"/>
        <v>700</v>
      </c>
      <c r="X58" s="116">
        <f>RCF!F$9</f>
        <v>14.000999999999999</v>
      </c>
      <c r="Y58" s="52">
        <f t="shared" si="62"/>
        <v>770</v>
      </c>
      <c r="Z58" s="52">
        <f t="shared" si="79"/>
        <v>959.1</v>
      </c>
      <c r="AA58" s="52">
        <f t="shared" si="79"/>
        <v>1134.0999999999999</v>
      </c>
      <c r="AB58" s="52">
        <f t="shared" si="79"/>
        <v>1029.0999999999999</v>
      </c>
      <c r="AC58" s="52">
        <f t="shared" si="79"/>
        <v>1519.1</v>
      </c>
      <c r="AD58" s="52">
        <f t="shared" si="79"/>
        <v>2100.1999999999998</v>
      </c>
      <c r="AE58" s="48">
        <f t="shared" si="64"/>
        <v>713</v>
      </c>
      <c r="AF58" s="116">
        <f>RCF!F$13</f>
        <v>14.26</v>
      </c>
      <c r="AG58" s="52">
        <f t="shared" si="80"/>
        <v>1176.5</v>
      </c>
      <c r="AH58" s="52">
        <f t="shared" si="80"/>
        <v>1497.3</v>
      </c>
      <c r="AI58" s="52">
        <f t="shared" si="80"/>
        <v>2139</v>
      </c>
      <c r="AJ58" s="48">
        <f t="shared" si="66"/>
        <v>710.9</v>
      </c>
      <c r="AK58" s="116">
        <f>RCF!F$25</f>
        <v>14.218</v>
      </c>
      <c r="AL58" s="48">
        <f t="shared" si="67"/>
        <v>947.5</v>
      </c>
      <c r="AM58" s="116">
        <f>RCF!F$29</f>
        <v>18.95</v>
      </c>
      <c r="AN58" s="48">
        <f t="shared" si="68"/>
        <v>754.4</v>
      </c>
      <c r="AO58" s="116">
        <f>RCF!F$33</f>
        <v>15.087999999999999</v>
      </c>
      <c r="AP58" s="52">
        <f t="shared" si="69"/>
        <v>1131.5999999999999</v>
      </c>
      <c r="AQ58" s="48">
        <f t="shared" si="70"/>
        <v>755.5</v>
      </c>
      <c r="AR58" s="116">
        <f>RCF!F$35</f>
        <v>15.11</v>
      </c>
      <c r="AS58" s="52">
        <f t="shared" si="81"/>
        <v>982.1</v>
      </c>
      <c r="AT58" s="52">
        <f t="shared" si="81"/>
        <v>1095.4000000000001</v>
      </c>
      <c r="AU58" s="48">
        <f t="shared" si="72"/>
        <v>743.4</v>
      </c>
      <c r="AV58" s="116">
        <f>RCF!F$37</f>
        <v>14.868</v>
      </c>
      <c r="AW58" s="48">
        <f t="shared" si="73"/>
        <v>751.9</v>
      </c>
      <c r="AX58" s="116">
        <f>RCF!F$39</f>
        <v>15.038</v>
      </c>
      <c r="AY58" s="48">
        <f t="shared" si="74"/>
        <v>730.1</v>
      </c>
      <c r="AZ58" s="116">
        <f>RCF!F$41</f>
        <v>14.603</v>
      </c>
    </row>
    <row r="59" spans="1:52" x14ac:dyDescent="0.2">
      <c r="A59" s="73" t="s">
        <v>165</v>
      </c>
      <c r="B59" s="71" t="s">
        <v>42</v>
      </c>
      <c r="C59" s="72">
        <v>25</v>
      </c>
      <c r="D59" s="74">
        <f t="shared" si="53"/>
        <v>365.1</v>
      </c>
      <c r="E59" s="75">
        <f>AZ59</f>
        <v>14.603</v>
      </c>
      <c r="F59" s="48">
        <f t="shared" si="54"/>
        <v>361.1</v>
      </c>
      <c r="G59" s="116">
        <f>RCF!F$5</f>
        <v>14.445</v>
      </c>
      <c r="H59" s="48">
        <f t="shared" si="55"/>
        <v>361.1</v>
      </c>
      <c r="I59" s="116">
        <f t="shared" si="56"/>
        <v>14.445</v>
      </c>
      <c r="J59" s="52">
        <f t="shared" si="77"/>
        <v>397.2</v>
      </c>
      <c r="K59" s="52">
        <f t="shared" si="77"/>
        <v>494.7</v>
      </c>
      <c r="L59" s="52">
        <f t="shared" si="77"/>
        <v>530.9</v>
      </c>
      <c r="M59" s="52">
        <f t="shared" si="77"/>
        <v>585</v>
      </c>
      <c r="N59" s="52">
        <f t="shared" si="77"/>
        <v>722.3</v>
      </c>
      <c r="O59" s="52">
        <f t="shared" si="77"/>
        <v>776.4</v>
      </c>
      <c r="P59" s="52">
        <f t="shared" si="77"/>
        <v>1083.4000000000001</v>
      </c>
      <c r="Q59" s="48">
        <f t="shared" si="58"/>
        <v>356.5</v>
      </c>
      <c r="R59" s="116">
        <f>RCF!F$7</f>
        <v>14.26</v>
      </c>
      <c r="S59" s="52">
        <f t="shared" si="78"/>
        <v>463.4</v>
      </c>
      <c r="T59" s="52">
        <f t="shared" si="78"/>
        <v>534.70000000000005</v>
      </c>
      <c r="U59" s="48">
        <f t="shared" si="60"/>
        <v>350</v>
      </c>
      <c r="V59" s="116">
        <f>RCF!F$9</f>
        <v>14.000999999999999</v>
      </c>
      <c r="W59" s="48">
        <f t="shared" si="61"/>
        <v>350</v>
      </c>
      <c r="X59" s="116">
        <f>RCF!F$9</f>
        <v>14.000999999999999</v>
      </c>
      <c r="Y59" s="52">
        <f t="shared" si="62"/>
        <v>385</v>
      </c>
      <c r="Z59" s="52">
        <f t="shared" si="79"/>
        <v>479.5</v>
      </c>
      <c r="AA59" s="52">
        <f t="shared" si="79"/>
        <v>567</v>
      </c>
      <c r="AB59" s="52">
        <f t="shared" si="79"/>
        <v>514.5</v>
      </c>
      <c r="AC59" s="52">
        <f t="shared" si="79"/>
        <v>759.6</v>
      </c>
      <c r="AD59" s="52">
        <f t="shared" si="79"/>
        <v>1050.0999999999999</v>
      </c>
      <c r="AE59" s="48">
        <f t="shared" si="64"/>
        <v>356.5</v>
      </c>
      <c r="AF59" s="116">
        <f>RCF!F$13</f>
        <v>14.26</v>
      </c>
      <c r="AG59" s="52">
        <f t="shared" si="80"/>
        <v>588.20000000000005</v>
      </c>
      <c r="AH59" s="52">
        <f t="shared" si="80"/>
        <v>748.7</v>
      </c>
      <c r="AI59" s="52">
        <f t="shared" si="80"/>
        <v>1069.5</v>
      </c>
      <c r="AJ59" s="48">
        <f t="shared" si="66"/>
        <v>355.4</v>
      </c>
      <c r="AK59" s="116">
        <f>RCF!F$25</f>
        <v>14.218</v>
      </c>
      <c r="AL59" s="48">
        <f t="shared" si="67"/>
        <v>473.7</v>
      </c>
      <c r="AM59" s="116">
        <f>RCF!F$29</f>
        <v>18.95</v>
      </c>
      <c r="AN59" s="48">
        <f t="shared" si="68"/>
        <v>377.2</v>
      </c>
      <c r="AO59" s="116">
        <f>RCF!F$33</f>
        <v>15.087999999999999</v>
      </c>
      <c r="AP59" s="52">
        <f t="shared" si="69"/>
        <v>565.79999999999995</v>
      </c>
      <c r="AQ59" s="48">
        <f t="shared" si="70"/>
        <v>377.7</v>
      </c>
      <c r="AR59" s="116">
        <f>RCF!F$35</f>
        <v>15.11</v>
      </c>
      <c r="AS59" s="52">
        <f t="shared" si="81"/>
        <v>491</v>
      </c>
      <c r="AT59" s="52">
        <f t="shared" si="81"/>
        <v>547.6</v>
      </c>
      <c r="AU59" s="48">
        <f t="shared" si="72"/>
        <v>371.7</v>
      </c>
      <c r="AV59" s="116">
        <f>RCF!F$37</f>
        <v>14.868</v>
      </c>
      <c r="AW59" s="48">
        <f t="shared" si="73"/>
        <v>375.9</v>
      </c>
      <c r="AX59" s="116">
        <f>RCF!F$39</f>
        <v>15.038</v>
      </c>
      <c r="AY59" s="48">
        <f t="shared" si="74"/>
        <v>365</v>
      </c>
      <c r="AZ59" s="116">
        <f>RCF!F$41</f>
        <v>14.603</v>
      </c>
    </row>
    <row r="60" spans="1:52" x14ac:dyDescent="0.2">
      <c r="A60" s="73" t="s">
        <v>166</v>
      </c>
      <c r="B60" s="71" t="s">
        <v>43</v>
      </c>
      <c r="C60" s="72">
        <v>50</v>
      </c>
      <c r="D60" s="74">
        <f t="shared" si="53"/>
        <v>730.2</v>
      </c>
      <c r="E60" s="75">
        <f>AZ60</f>
        <v>14.603</v>
      </c>
      <c r="F60" s="48">
        <f t="shared" si="54"/>
        <v>722.2</v>
      </c>
      <c r="G60" s="116">
        <f>RCF!F$5</f>
        <v>14.445</v>
      </c>
      <c r="H60" s="48">
        <f t="shared" si="55"/>
        <v>722.3</v>
      </c>
      <c r="I60" s="116">
        <f t="shared" si="56"/>
        <v>14.445</v>
      </c>
      <c r="J60" s="52">
        <f t="shared" si="77"/>
        <v>794.5</v>
      </c>
      <c r="K60" s="52">
        <f t="shared" si="77"/>
        <v>989.5</v>
      </c>
      <c r="L60" s="52">
        <f t="shared" si="77"/>
        <v>1061.7</v>
      </c>
      <c r="M60" s="52">
        <f t="shared" si="77"/>
        <v>1170</v>
      </c>
      <c r="N60" s="52">
        <f t="shared" si="77"/>
        <v>1444.5</v>
      </c>
      <c r="O60" s="52">
        <f t="shared" si="77"/>
        <v>1552.8</v>
      </c>
      <c r="P60" s="52">
        <f t="shared" si="77"/>
        <v>2166.8000000000002</v>
      </c>
      <c r="Q60" s="48">
        <f t="shared" si="58"/>
        <v>713</v>
      </c>
      <c r="R60" s="116">
        <f>RCF!F$7</f>
        <v>14.26</v>
      </c>
      <c r="S60" s="52">
        <f t="shared" si="78"/>
        <v>926.9</v>
      </c>
      <c r="T60" s="52">
        <f t="shared" si="78"/>
        <v>1069.5</v>
      </c>
      <c r="U60" s="48">
        <f t="shared" si="60"/>
        <v>700</v>
      </c>
      <c r="V60" s="116">
        <f>RCF!F$9</f>
        <v>14.000999999999999</v>
      </c>
      <c r="W60" s="48">
        <f t="shared" si="61"/>
        <v>700</v>
      </c>
      <c r="X60" s="116">
        <f>RCF!F$9</f>
        <v>14.000999999999999</v>
      </c>
      <c r="Y60" s="52">
        <f t="shared" si="62"/>
        <v>770</v>
      </c>
      <c r="Z60" s="52">
        <f t="shared" si="79"/>
        <v>959.1</v>
      </c>
      <c r="AA60" s="52">
        <f t="shared" si="79"/>
        <v>1134.0999999999999</v>
      </c>
      <c r="AB60" s="52">
        <f t="shared" si="79"/>
        <v>1029.0999999999999</v>
      </c>
      <c r="AC60" s="52">
        <f t="shared" si="79"/>
        <v>1519.1</v>
      </c>
      <c r="AD60" s="52">
        <f t="shared" si="79"/>
        <v>2100.1999999999998</v>
      </c>
      <c r="AE60" s="48">
        <f t="shared" si="64"/>
        <v>713</v>
      </c>
      <c r="AF60" s="116">
        <f>RCF!F$13</f>
        <v>14.26</v>
      </c>
      <c r="AG60" s="52">
        <f t="shared" si="80"/>
        <v>1176.5</v>
      </c>
      <c r="AH60" s="52">
        <f t="shared" si="80"/>
        <v>1497.3</v>
      </c>
      <c r="AI60" s="52">
        <f t="shared" si="80"/>
        <v>2139</v>
      </c>
      <c r="AJ60" s="48">
        <f t="shared" si="66"/>
        <v>710.9</v>
      </c>
      <c r="AK60" s="116">
        <f>RCF!F$25</f>
        <v>14.218</v>
      </c>
      <c r="AL60" s="48">
        <f t="shared" si="67"/>
        <v>947.5</v>
      </c>
      <c r="AM60" s="116">
        <f>RCF!F$29</f>
        <v>18.95</v>
      </c>
      <c r="AN60" s="48">
        <f t="shared" si="68"/>
        <v>754.4</v>
      </c>
      <c r="AO60" s="116">
        <f>RCF!F$33</f>
        <v>15.087999999999999</v>
      </c>
      <c r="AP60" s="52">
        <f t="shared" si="69"/>
        <v>1131.5999999999999</v>
      </c>
      <c r="AQ60" s="48">
        <f t="shared" si="70"/>
        <v>755.5</v>
      </c>
      <c r="AR60" s="116">
        <f>RCF!F$35</f>
        <v>15.11</v>
      </c>
      <c r="AS60" s="52">
        <f t="shared" si="81"/>
        <v>982.1</v>
      </c>
      <c r="AT60" s="52">
        <f t="shared" si="81"/>
        <v>1095.4000000000001</v>
      </c>
      <c r="AU60" s="48">
        <f t="shared" si="72"/>
        <v>743.4</v>
      </c>
      <c r="AV60" s="116">
        <f>RCF!F$37</f>
        <v>14.868</v>
      </c>
      <c r="AW60" s="48">
        <f t="shared" si="73"/>
        <v>751.9</v>
      </c>
      <c r="AX60" s="116">
        <f>RCF!F$39</f>
        <v>15.038</v>
      </c>
      <c r="AY60" s="48">
        <f t="shared" si="74"/>
        <v>730.1</v>
      </c>
      <c r="AZ60" s="116">
        <f>RCF!F$41</f>
        <v>14.603</v>
      </c>
    </row>
    <row r="61" spans="1:52" x14ac:dyDescent="0.2">
      <c r="A61" s="73" t="s">
        <v>167</v>
      </c>
      <c r="B61" s="54" t="s">
        <v>44</v>
      </c>
      <c r="C61" s="55">
        <v>50</v>
      </c>
      <c r="D61" s="74">
        <f t="shared" si="53"/>
        <v>730.2</v>
      </c>
      <c r="E61" s="75">
        <f>AZ61</f>
        <v>14.603</v>
      </c>
      <c r="F61" s="48">
        <f t="shared" si="54"/>
        <v>722.2</v>
      </c>
      <c r="G61" s="116">
        <f>RCF!F$5</f>
        <v>14.445</v>
      </c>
      <c r="H61" s="48">
        <f t="shared" si="55"/>
        <v>722.3</v>
      </c>
      <c r="I61" s="116">
        <f t="shared" si="56"/>
        <v>14.445</v>
      </c>
      <c r="J61" s="52">
        <f t="shared" si="77"/>
        <v>794.5</v>
      </c>
      <c r="K61" s="52">
        <f t="shared" si="77"/>
        <v>989.5</v>
      </c>
      <c r="L61" s="52">
        <f t="shared" si="77"/>
        <v>1061.7</v>
      </c>
      <c r="M61" s="52">
        <f t="shared" si="77"/>
        <v>1170</v>
      </c>
      <c r="N61" s="52">
        <f t="shared" si="77"/>
        <v>1444.5</v>
      </c>
      <c r="O61" s="52">
        <f t="shared" si="77"/>
        <v>1552.8</v>
      </c>
      <c r="P61" s="52">
        <f t="shared" si="77"/>
        <v>2166.8000000000002</v>
      </c>
      <c r="Q61" s="48">
        <f t="shared" si="58"/>
        <v>713</v>
      </c>
      <c r="R61" s="116">
        <f>RCF!F$7</f>
        <v>14.26</v>
      </c>
      <c r="S61" s="52">
        <f t="shared" si="78"/>
        <v>926.9</v>
      </c>
      <c r="T61" s="52">
        <f t="shared" si="78"/>
        <v>1069.5</v>
      </c>
      <c r="U61" s="48">
        <f t="shared" si="60"/>
        <v>700</v>
      </c>
      <c r="V61" s="116">
        <f>RCF!F$9</f>
        <v>14.000999999999999</v>
      </c>
      <c r="W61" s="48">
        <f t="shared" si="61"/>
        <v>700</v>
      </c>
      <c r="X61" s="116">
        <f>RCF!F$9</f>
        <v>14.000999999999999</v>
      </c>
      <c r="Y61" s="52">
        <f t="shared" si="62"/>
        <v>770</v>
      </c>
      <c r="Z61" s="52">
        <f t="shared" si="79"/>
        <v>959.1</v>
      </c>
      <c r="AA61" s="52">
        <f t="shared" si="79"/>
        <v>1134.0999999999999</v>
      </c>
      <c r="AB61" s="52">
        <f t="shared" si="79"/>
        <v>1029.0999999999999</v>
      </c>
      <c r="AC61" s="52">
        <f t="shared" si="79"/>
        <v>1519.1</v>
      </c>
      <c r="AD61" s="52">
        <f t="shared" si="79"/>
        <v>2100.1999999999998</v>
      </c>
      <c r="AE61" s="48">
        <f t="shared" si="64"/>
        <v>713</v>
      </c>
      <c r="AF61" s="116">
        <f>RCF!F$13</f>
        <v>14.26</v>
      </c>
      <c r="AG61" s="52">
        <f t="shared" si="80"/>
        <v>1176.5</v>
      </c>
      <c r="AH61" s="52">
        <f t="shared" si="80"/>
        <v>1497.3</v>
      </c>
      <c r="AI61" s="52">
        <f t="shared" si="80"/>
        <v>2139</v>
      </c>
      <c r="AJ61" s="48">
        <f t="shared" si="66"/>
        <v>710.9</v>
      </c>
      <c r="AK61" s="116">
        <f>RCF!F$25</f>
        <v>14.218</v>
      </c>
      <c r="AL61" s="48">
        <f t="shared" si="67"/>
        <v>947.5</v>
      </c>
      <c r="AM61" s="116">
        <f>RCF!F$29</f>
        <v>18.95</v>
      </c>
      <c r="AN61" s="48">
        <f t="shared" si="68"/>
        <v>754.4</v>
      </c>
      <c r="AO61" s="116">
        <f>RCF!F$33</f>
        <v>15.087999999999999</v>
      </c>
      <c r="AP61" s="52">
        <f t="shared" si="69"/>
        <v>1131.5999999999999</v>
      </c>
      <c r="AQ61" s="48">
        <f t="shared" si="70"/>
        <v>755.5</v>
      </c>
      <c r="AR61" s="116">
        <f>RCF!F$35</f>
        <v>15.11</v>
      </c>
      <c r="AS61" s="52">
        <f t="shared" si="81"/>
        <v>982.1</v>
      </c>
      <c r="AT61" s="52">
        <f t="shared" si="81"/>
        <v>1095.4000000000001</v>
      </c>
      <c r="AU61" s="48">
        <f t="shared" si="72"/>
        <v>743.4</v>
      </c>
      <c r="AV61" s="116">
        <f>RCF!F$37</f>
        <v>14.868</v>
      </c>
      <c r="AW61" s="48">
        <f t="shared" si="73"/>
        <v>751.9</v>
      </c>
      <c r="AX61" s="116">
        <f>RCF!F$39</f>
        <v>15.038</v>
      </c>
      <c r="AY61" s="48">
        <f t="shared" si="74"/>
        <v>730.1</v>
      </c>
      <c r="AZ61" s="116">
        <f>RCF!F$41</f>
        <v>14.603</v>
      </c>
    </row>
    <row r="62" spans="1:52" x14ac:dyDescent="0.2">
      <c r="A62" s="70">
        <v>3636</v>
      </c>
      <c r="B62" s="54" t="s">
        <v>160</v>
      </c>
      <c r="C62" s="55">
        <v>100</v>
      </c>
      <c r="D62" s="48">
        <f t="shared" si="53"/>
        <v>5615</v>
      </c>
      <c r="E62" s="47">
        <f>RCF!C$43</f>
        <v>56.150171999999998</v>
      </c>
      <c r="F62" s="48">
        <f t="shared" si="54"/>
        <v>1515.5</v>
      </c>
      <c r="G62" s="116">
        <f>RCF!C$5</f>
        <v>15.154999999999999</v>
      </c>
      <c r="H62" s="48">
        <f t="shared" si="55"/>
        <v>1515.5</v>
      </c>
      <c r="I62" s="116">
        <f t="shared" si="56"/>
        <v>15.154999999999999</v>
      </c>
      <c r="J62" s="52">
        <f t="shared" si="77"/>
        <v>1667.1</v>
      </c>
      <c r="K62" s="52">
        <f t="shared" si="77"/>
        <v>2076.1999999999998</v>
      </c>
      <c r="L62" s="52">
        <f t="shared" si="77"/>
        <v>2227.8000000000002</v>
      </c>
      <c r="M62" s="52">
        <f t="shared" si="77"/>
        <v>2455.1</v>
      </c>
      <c r="N62" s="52">
        <f t="shared" si="77"/>
        <v>3031</v>
      </c>
      <c r="O62" s="52">
        <f t="shared" si="77"/>
        <v>3258.3</v>
      </c>
      <c r="P62" s="52">
        <f t="shared" si="77"/>
        <v>4546.5</v>
      </c>
      <c r="Q62" s="48">
        <f t="shared" si="58"/>
        <v>1491</v>
      </c>
      <c r="R62" s="116">
        <f>RCF!C$7</f>
        <v>14.91</v>
      </c>
      <c r="S62" s="52">
        <f t="shared" si="78"/>
        <v>1938.3</v>
      </c>
      <c r="T62" s="52">
        <f t="shared" si="78"/>
        <v>2236.5</v>
      </c>
      <c r="U62" s="48">
        <f t="shared" si="60"/>
        <v>1468.7</v>
      </c>
      <c r="V62" s="116">
        <f>RCF!C$9</f>
        <v>14.686999999999999</v>
      </c>
      <c r="W62" s="48">
        <f t="shared" si="61"/>
        <v>1468.7</v>
      </c>
      <c r="X62" s="116">
        <f>RCF!C$9</f>
        <v>14.686999999999999</v>
      </c>
      <c r="Y62" s="52">
        <f t="shared" si="62"/>
        <v>1615.5</v>
      </c>
      <c r="Z62" s="52">
        <f t="shared" si="79"/>
        <v>2012.1</v>
      </c>
      <c r="AA62" s="52">
        <f t="shared" si="79"/>
        <v>2379.3000000000002</v>
      </c>
      <c r="AB62" s="52">
        <f t="shared" si="79"/>
        <v>2159</v>
      </c>
      <c r="AC62" s="52">
        <f t="shared" si="79"/>
        <v>3187.1</v>
      </c>
      <c r="AD62" s="52">
        <f t="shared" si="79"/>
        <v>4406.1000000000004</v>
      </c>
      <c r="AE62" s="48">
        <f t="shared" si="64"/>
        <v>1494</v>
      </c>
      <c r="AF62" s="116">
        <f>RCF!C$13</f>
        <v>14.94</v>
      </c>
      <c r="AG62" s="52">
        <f t="shared" si="80"/>
        <v>2465.1</v>
      </c>
      <c r="AH62" s="52">
        <f t="shared" si="80"/>
        <v>3137.4</v>
      </c>
      <c r="AI62" s="52">
        <f t="shared" si="80"/>
        <v>4482</v>
      </c>
      <c r="AJ62" s="48">
        <f t="shared" si="66"/>
        <v>1490.7</v>
      </c>
      <c r="AK62" s="116">
        <f>RCF!C$25</f>
        <v>14.907142857142857</v>
      </c>
      <c r="AL62" s="48">
        <f t="shared" si="67"/>
        <v>1528.5</v>
      </c>
      <c r="AM62" s="116">
        <f>RCF!C$29</f>
        <v>15.285714285714286</v>
      </c>
      <c r="AN62" s="48">
        <f t="shared" si="68"/>
        <v>1582.8</v>
      </c>
      <c r="AO62" s="116">
        <f>RCF!C$33</f>
        <v>15.827999999999999</v>
      </c>
      <c r="AP62" s="52">
        <f t="shared" si="69"/>
        <v>2374.1999999999998</v>
      </c>
      <c r="AQ62" s="48">
        <f t="shared" si="70"/>
        <v>1577</v>
      </c>
      <c r="AR62" s="116">
        <f>RCF!C$35</f>
        <v>15.77</v>
      </c>
      <c r="AS62" s="52">
        <f t="shared" si="81"/>
        <v>2050.1</v>
      </c>
      <c r="AT62" s="52">
        <f t="shared" si="81"/>
        <v>2286.6</v>
      </c>
      <c r="AU62" s="48">
        <f t="shared" si="72"/>
        <v>1560.7</v>
      </c>
      <c r="AV62" s="116">
        <f>RCF!C$37</f>
        <v>15.607142857142858</v>
      </c>
      <c r="AW62" s="48">
        <f t="shared" si="73"/>
        <v>1587.3</v>
      </c>
      <c r="AX62" s="116">
        <f>RCF!C$39</f>
        <v>15.872999999999999</v>
      </c>
      <c r="AY62" s="48">
        <f t="shared" si="74"/>
        <v>1532</v>
      </c>
      <c r="AZ62" s="116">
        <f>RCF!C$41</f>
        <v>15.32</v>
      </c>
    </row>
    <row r="63" spans="1:52" ht="25.5" x14ac:dyDescent="0.2">
      <c r="A63" s="73" t="s">
        <v>168</v>
      </c>
      <c r="B63" s="71" t="s">
        <v>45</v>
      </c>
      <c r="C63" s="72">
        <v>128</v>
      </c>
      <c r="D63" s="74">
        <f t="shared" si="53"/>
        <v>1961</v>
      </c>
      <c r="E63" s="75">
        <f>AZ63</f>
        <v>15.32</v>
      </c>
      <c r="F63" s="48">
        <f t="shared" si="54"/>
        <v>1939.8</v>
      </c>
      <c r="G63" s="116">
        <f>RCF!C$5</f>
        <v>15.154999999999999</v>
      </c>
      <c r="H63" s="48">
        <f t="shared" si="55"/>
        <v>1939.8</v>
      </c>
      <c r="I63" s="116">
        <f t="shared" si="56"/>
        <v>15.154999999999999</v>
      </c>
      <c r="J63" s="52">
        <f t="shared" si="77"/>
        <v>2133.8000000000002</v>
      </c>
      <c r="K63" s="52">
        <f t="shared" si="77"/>
        <v>2657.6</v>
      </c>
      <c r="L63" s="52">
        <f t="shared" si="77"/>
        <v>2851.6</v>
      </c>
      <c r="M63" s="52">
        <f t="shared" si="77"/>
        <v>3142.5</v>
      </c>
      <c r="N63" s="52">
        <f t="shared" si="77"/>
        <v>3879.7</v>
      </c>
      <c r="O63" s="52">
        <f t="shared" si="77"/>
        <v>4170.7</v>
      </c>
      <c r="P63" s="52">
        <f t="shared" si="77"/>
        <v>5819.5</v>
      </c>
      <c r="Q63" s="48">
        <f t="shared" si="58"/>
        <v>1908.4</v>
      </c>
      <c r="R63" s="116">
        <f>RCF!C$7</f>
        <v>14.91</v>
      </c>
      <c r="S63" s="52">
        <f t="shared" si="78"/>
        <v>2480.9</v>
      </c>
      <c r="T63" s="52">
        <f t="shared" si="78"/>
        <v>2862.6</v>
      </c>
      <c r="U63" s="48">
        <f t="shared" si="60"/>
        <v>1879.9</v>
      </c>
      <c r="V63" s="116">
        <f>RCF!C$9</f>
        <v>14.686999999999999</v>
      </c>
      <c r="W63" s="48">
        <f t="shared" si="61"/>
        <v>1879.9</v>
      </c>
      <c r="X63" s="116">
        <f>RCF!C$9</f>
        <v>14.686999999999999</v>
      </c>
      <c r="Y63" s="52">
        <f t="shared" si="62"/>
        <v>2067.8000000000002</v>
      </c>
      <c r="Z63" s="52">
        <f t="shared" si="79"/>
        <v>2575.5</v>
      </c>
      <c r="AA63" s="52">
        <f t="shared" si="79"/>
        <v>3045.5</v>
      </c>
      <c r="AB63" s="52">
        <f t="shared" si="79"/>
        <v>2763.5</v>
      </c>
      <c r="AC63" s="52">
        <f t="shared" si="79"/>
        <v>4079.5</v>
      </c>
      <c r="AD63" s="52">
        <f t="shared" si="79"/>
        <v>5639.8</v>
      </c>
      <c r="AE63" s="48">
        <f t="shared" si="64"/>
        <v>1912.3</v>
      </c>
      <c r="AF63" s="116">
        <f>RCF!C$13</f>
        <v>14.94</v>
      </c>
      <c r="AG63" s="52">
        <f t="shared" si="80"/>
        <v>3155.3</v>
      </c>
      <c r="AH63" s="52">
        <f t="shared" si="80"/>
        <v>4015.8</v>
      </c>
      <c r="AI63" s="52">
        <f t="shared" si="80"/>
        <v>5736.9</v>
      </c>
      <c r="AJ63" s="48">
        <f t="shared" si="66"/>
        <v>1908.1</v>
      </c>
      <c r="AK63" s="116">
        <f>RCF!C$25</f>
        <v>14.907142857142857</v>
      </c>
      <c r="AL63" s="48">
        <f t="shared" si="67"/>
        <v>1956.5</v>
      </c>
      <c r="AM63" s="116">
        <f>RCF!C$29</f>
        <v>15.285714285714286</v>
      </c>
      <c r="AN63" s="48">
        <f t="shared" si="68"/>
        <v>2025.9</v>
      </c>
      <c r="AO63" s="116">
        <f>RCF!C$33</f>
        <v>15.827999999999999</v>
      </c>
      <c r="AP63" s="52">
        <f t="shared" si="69"/>
        <v>3038.8</v>
      </c>
      <c r="AQ63" s="48">
        <f t="shared" si="70"/>
        <v>2018.5</v>
      </c>
      <c r="AR63" s="116">
        <f>RCF!C$35</f>
        <v>15.77</v>
      </c>
      <c r="AS63" s="52">
        <f t="shared" si="81"/>
        <v>2624</v>
      </c>
      <c r="AT63" s="52">
        <f t="shared" si="81"/>
        <v>2926.8</v>
      </c>
      <c r="AU63" s="48">
        <f t="shared" si="72"/>
        <v>1997.7</v>
      </c>
      <c r="AV63" s="116">
        <f>RCF!C$37</f>
        <v>15.607142857142858</v>
      </c>
      <c r="AW63" s="48">
        <f t="shared" si="73"/>
        <v>2031.7</v>
      </c>
      <c r="AX63" s="116">
        <f>RCF!C$39</f>
        <v>15.872999999999999</v>
      </c>
      <c r="AY63" s="48">
        <f t="shared" si="74"/>
        <v>1960.9</v>
      </c>
      <c r="AZ63" s="116">
        <f>RCF!C$41</f>
        <v>15.32</v>
      </c>
    </row>
    <row r="64" spans="1:52" ht="25.5" x14ac:dyDescent="0.2">
      <c r="A64" s="70">
        <v>5111</v>
      </c>
      <c r="B64" s="54" t="s">
        <v>161</v>
      </c>
      <c r="C64" s="55">
        <v>206</v>
      </c>
      <c r="D64" s="74">
        <f t="shared" si="53"/>
        <v>3155.9</v>
      </c>
      <c r="E64" s="75">
        <f>AZ64</f>
        <v>15.32</v>
      </c>
      <c r="F64" s="48">
        <f t="shared" si="54"/>
        <v>3121.9</v>
      </c>
      <c r="G64" s="116">
        <f>RCF!C$5</f>
        <v>15.154999999999999</v>
      </c>
      <c r="H64" s="48">
        <f t="shared" si="55"/>
        <v>3121.9</v>
      </c>
      <c r="I64" s="116">
        <f t="shared" si="56"/>
        <v>15.154999999999999</v>
      </c>
      <c r="J64" s="52">
        <f t="shared" si="77"/>
        <v>3434.1</v>
      </c>
      <c r="K64" s="52">
        <f t="shared" si="77"/>
        <v>4277</v>
      </c>
      <c r="L64" s="52">
        <f t="shared" si="77"/>
        <v>4589.2</v>
      </c>
      <c r="M64" s="52">
        <f t="shared" si="77"/>
        <v>5057.5</v>
      </c>
      <c r="N64" s="52">
        <f t="shared" si="77"/>
        <v>6243.9</v>
      </c>
      <c r="O64" s="52">
        <f t="shared" si="77"/>
        <v>6712.1</v>
      </c>
      <c r="P64" s="52">
        <f t="shared" si="77"/>
        <v>9365.7999999999993</v>
      </c>
      <c r="Q64" s="48">
        <f t="shared" si="58"/>
        <v>3071.4</v>
      </c>
      <c r="R64" s="116">
        <f>RCF!C$7</f>
        <v>14.91</v>
      </c>
      <c r="S64" s="52">
        <f t="shared" si="78"/>
        <v>3992.8</v>
      </c>
      <c r="T64" s="52">
        <f t="shared" si="78"/>
        <v>4607.1000000000004</v>
      </c>
      <c r="U64" s="48">
        <f t="shared" si="60"/>
        <v>3025.5</v>
      </c>
      <c r="V64" s="116">
        <f>RCF!C$9</f>
        <v>14.686999999999999</v>
      </c>
      <c r="W64" s="48">
        <f t="shared" si="61"/>
        <v>3025.5</v>
      </c>
      <c r="X64" s="116">
        <f>RCF!C$9</f>
        <v>14.686999999999999</v>
      </c>
      <c r="Y64" s="52">
        <f t="shared" si="62"/>
        <v>3328</v>
      </c>
      <c r="Z64" s="52">
        <f t="shared" si="79"/>
        <v>4145</v>
      </c>
      <c r="AA64" s="52">
        <f t="shared" si="79"/>
        <v>4901.3</v>
      </c>
      <c r="AB64" s="52">
        <f t="shared" si="79"/>
        <v>4447.5</v>
      </c>
      <c r="AC64" s="52">
        <f t="shared" si="79"/>
        <v>6565.4</v>
      </c>
      <c r="AD64" s="52">
        <f t="shared" si="79"/>
        <v>9076.6</v>
      </c>
      <c r="AE64" s="48">
        <f t="shared" si="64"/>
        <v>3077.6</v>
      </c>
      <c r="AF64" s="116">
        <f>RCF!C$13</f>
        <v>14.94</v>
      </c>
      <c r="AG64" s="52">
        <f t="shared" si="80"/>
        <v>5078</v>
      </c>
      <c r="AH64" s="52">
        <f t="shared" si="80"/>
        <v>6463</v>
      </c>
      <c r="AI64" s="52">
        <f t="shared" si="80"/>
        <v>9232.7999999999993</v>
      </c>
      <c r="AJ64" s="48">
        <f t="shared" si="66"/>
        <v>3070.8</v>
      </c>
      <c r="AK64" s="116">
        <f>RCF!C$25</f>
        <v>14.907142857142857</v>
      </c>
      <c r="AL64" s="48">
        <f t="shared" si="67"/>
        <v>3148.8</v>
      </c>
      <c r="AM64" s="116">
        <f>RCF!C$29</f>
        <v>15.285714285714286</v>
      </c>
      <c r="AN64" s="48">
        <f t="shared" si="68"/>
        <v>3260.5</v>
      </c>
      <c r="AO64" s="116">
        <f>RCF!C$33</f>
        <v>15.827999999999999</v>
      </c>
      <c r="AP64" s="52">
        <f t="shared" si="69"/>
        <v>4890.7</v>
      </c>
      <c r="AQ64" s="48">
        <f t="shared" si="70"/>
        <v>3248.6</v>
      </c>
      <c r="AR64" s="116">
        <f>RCF!C$35</f>
        <v>15.77</v>
      </c>
      <c r="AS64" s="52">
        <f t="shared" si="81"/>
        <v>4223.1000000000004</v>
      </c>
      <c r="AT64" s="52">
        <f t="shared" si="81"/>
        <v>4710.3999999999996</v>
      </c>
      <c r="AU64" s="48">
        <f t="shared" si="72"/>
        <v>3215</v>
      </c>
      <c r="AV64" s="116">
        <f>RCF!C$37</f>
        <v>15.607142857142858</v>
      </c>
      <c r="AW64" s="48">
        <f t="shared" si="73"/>
        <v>3269.8</v>
      </c>
      <c r="AX64" s="116">
        <f>RCF!C$39</f>
        <v>15.872999999999999</v>
      </c>
      <c r="AY64" s="48">
        <f t="shared" si="74"/>
        <v>3155.9</v>
      </c>
      <c r="AZ64" s="116">
        <f>RCF!C$41</f>
        <v>15.32</v>
      </c>
    </row>
    <row r="65" spans="1:52" x14ac:dyDescent="0.2">
      <c r="A65" s="76"/>
      <c r="B65" s="77"/>
      <c r="C65" s="78"/>
      <c r="D65" s="79"/>
      <c r="E65" s="80"/>
      <c r="F65" s="79"/>
      <c r="G65" s="80"/>
      <c r="H65" s="79"/>
      <c r="I65" s="80"/>
      <c r="J65" s="63"/>
      <c r="K65" s="63"/>
      <c r="L65" s="63"/>
      <c r="M65" s="63"/>
      <c r="N65" s="63"/>
      <c r="O65" s="82"/>
      <c r="P65" s="82"/>
      <c r="Q65" s="79"/>
      <c r="R65" s="80"/>
      <c r="S65" s="82"/>
      <c r="T65" s="82"/>
      <c r="U65" s="79"/>
      <c r="V65" s="80"/>
      <c r="W65" s="59"/>
      <c r="X65" s="60"/>
      <c r="Y65" s="82"/>
      <c r="Z65" s="82"/>
      <c r="AA65" s="82"/>
      <c r="AB65" s="82"/>
      <c r="AC65" s="82"/>
      <c r="AD65" s="82"/>
      <c r="AE65" s="81"/>
      <c r="AF65" s="60"/>
      <c r="AG65" s="83"/>
      <c r="AH65" s="83"/>
      <c r="AI65" s="83"/>
      <c r="AJ65" s="79"/>
      <c r="AK65" s="80"/>
      <c r="AL65" s="79"/>
      <c r="AM65" s="80"/>
      <c r="AN65" s="81"/>
      <c r="AO65" s="60"/>
      <c r="AP65" s="83"/>
      <c r="AQ65" s="81"/>
      <c r="AR65" s="60"/>
      <c r="AS65" s="83"/>
      <c r="AT65" s="83"/>
      <c r="AU65" s="81"/>
      <c r="AV65" s="60"/>
      <c r="AW65" s="81"/>
      <c r="AX65" s="60"/>
      <c r="AY65" s="59"/>
      <c r="AZ65" s="60"/>
    </row>
    <row r="66" spans="1:52" s="261" customFormat="1" x14ac:dyDescent="0.2">
      <c r="A66" s="252" t="s">
        <v>193</v>
      </c>
      <c r="B66" s="253"/>
      <c r="C66" s="253"/>
      <c r="D66" s="253"/>
      <c r="E66" s="254"/>
      <c r="F66" s="254"/>
      <c r="G66" s="254"/>
      <c r="H66" s="255"/>
      <c r="I66" s="254"/>
      <c r="J66" s="256"/>
      <c r="K66" s="256"/>
      <c r="L66" s="256"/>
      <c r="M66" s="256"/>
      <c r="N66" s="256"/>
      <c r="O66" s="256"/>
      <c r="P66" s="256"/>
      <c r="Q66" s="255"/>
      <c r="R66" s="254"/>
      <c r="S66" s="256"/>
      <c r="T66" s="256"/>
      <c r="U66" s="257"/>
      <c r="V66" s="258"/>
      <c r="W66" s="257"/>
      <c r="X66" s="258"/>
      <c r="Y66" s="253"/>
      <c r="Z66" s="253"/>
      <c r="AA66" s="253"/>
      <c r="AB66" s="253"/>
      <c r="AC66" s="253"/>
      <c r="AD66" s="253"/>
      <c r="AE66" s="255"/>
      <c r="AF66" s="255"/>
      <c r="AG66" s="255"/>
      <c r="AH66" s="255"/>
      <c r="AI66" s="255"/>
      <c r="AJ66" s="253"/>
      <c r="AK66" s="258"/>
      <c r="AL66" s="253"/>
      <c r="AM66" s="258"/>
      <c r="AN66" s="259"/>
      <c r="AO66" s="256"/>
      <c r="AP66" s="255"/>
      <c r="AQ66" s="255"/>
      <c r="AR66" s="255"/>
      <c r="AS66" s="255"/>
      <c r="AT66" s="255"/>
      <c r="AU66" s="255"/>
      <c r="AV66" s="255"/>
      <c r="AW66" s="255"/>
      <c r="AX66" s="255"/>
      <c r="AY66" s="259"/>
      <c r="AZ66" s="260"/>
    </row>
    <row r="67" spans="1:52" x14ac:dyDescent="0.2">
      <c r="A67" s="208" t="s">
        <v>49</v>
      </c>
      <c r="B67" s="84"/>
      <c r="C67" s="85"/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6"/>
      <c r="V67" s="87"/>
      <c r="W67" s="86"/>
      <c r="X67" s="87"/>
      <c r="Y67" s="84"/>
      <c r="Z67" s="84"/>
      <c r="AA67" s="84"/>
      <c r="AB67" s="84"/>
      <c r="AC67" s="84"/>
      <c r="AD67" s="84"/>
      <c r="AE67" s="86"/>
      <c r="AF67" s="87"/>
      <c r="AG67" s="87"/>
      <c r="AH67" s="87"/>
      <c r="AI67" s="87"/>
      <c r="AJ67" s="86"/>
      <c r="AK67" s="87"/>
      <c r="AL67" s="86"/>
      <c r="AM67" s="87"/>
      <c r="AN67" s="86"/>
      <c r="AO67" s="87"/>
      <c r="AP67" s="87"/>
      <c r="AQ67" s="86"/>
      <c r="AR67" s="87"/>
      <c r="AS67" s="87"/>
      <c r="AT67" s="87"/>
      <c r="AU67" s="86"/>
      <c r="AV67" s="87"/>
      <c r="AW67" s="86"/>
      <c r="AX67" s="87"/>
      <c r="AY67" s="87"/>
      <c r="AZ67" s="88"/>
    </row>
    <row r="68" spans="1:52" x14ac:dyDescent="0.2">
      <c r="A68" s="238" t="s">
        <v>103</v>
      </c>
      <c r="B68" s="210"/>
      <c r="C68" s="210"/>
      <c r="D68" s="210"/>
      <c r="E68" s="210"/>
      <c r="F68" s="211"/>
      <c r="G68" s="211"/>
      <c r="H68" s="211"/>
      <c r="I68" s="211"/>
      <c r="J68" s="212"/>
      <c r="K68" s="212"/>
      <c r="L68" s="212"/>
      <c r="M68" s="212"/>
      <c r="N68" s="212"/>
      <c r="O68" s="212"/>
      <c r="P68" s="212"/>
      <c r="Q68" s="211"/>
      <c r="R68" s="211"/>
      <c r="S68" s="212"/>
      <c r="T68" s="212"/>
      <c r="U68" s="211"/>
      <c r="V68" s="211"/>
      <c r="W68" s="211"/>
      <c r="X68" s="211"/>
      <c r="Y68" s="213"/>
      <c r="Z68" s="213"/>
      <c r="AA68" s="213"/>
      <c r="AB68" s="213"/>
      <c r="AC68" s="213"/>
      <c r="AD68" s="213"/>
      <c r="AE68" s="211"/>
      <c r="AF68" s="211"/>
      <c r="AG68" s="90"/>
      <c r="AH68" s="90"/>
      <c r="AI68" s="90"/>
      <c r="AJ68" s="211"/>
      <c r="AK68" s="211"/>
      <c r="AL68" s="211"/>
      <c r="AM68" s="211"/>
      <c r="AN68" s="127"/>
      <c r="AO68" s="211"/>
      <c r="AP68" s="90"/>
      <c r="AQ68" s="127"/>
      <c r="AR68" s="211"/>
      <c r="AS68" s="90"/>
      <c r="AT68" s="90"/>
      <c r="AU68" s="127"/>
      <c r="AV68" s="211"/>
      <c r="AW68" s="127"/>
      <c r="AX68" s="128"/>
      <c r="AY68" s="211"/>
      <c r="AZ68" s="129"/>
    </row>
    <row r="69" spans="1:52" s="180" customFormat="1" x14ac:dyDescent="0.2">
      <c r="A69" s="130" t="s">
        <v>176</v>
      </c>
      <c r="B69" s="210"/>
      <c r="C69" s="210"/>
      <c r="D69" s="210"/>
      <c r="E69" s="210"/>
      <c r="F69" s="211"/>
      <c r="G69" s="211"/>
      <c r="H69" s="211"/>
      <c r="I69" s="211"/>
      <c r="J69" s="212"/>
      <c r="K69" s="212"/>
      <c r="L69" s="212"/>
      <c r="M69" s="212"/>
      <c r="N69" s="212"/>
      <c r="O69" s="212"/>
      <c r="P69" s="212"/>
      <c r="Q69" s="211"/>
      <c r="R69" s="211"/>
      <c r="S69" s="212"/>
      <c r="T69" s="212"/>
      <c r="U69" s="211"/>
      <c r="V69" s="211"/>
      <c r="W69" s="211"/>
      <c r="X69" s="211"/>
      <c r="Y69" s="213"/>
      <c r="Z69" s="213"/>
      <c r="AA69" s="213"/>
      <c r="AB69" s="213"/>
      <c r="AC69" s="213"/>
      <c r="AD69" s="213"/>
      <c r="AE69" s="211"/>
      <c r="AF69" s="211"/>
      <c r="AG69" s="90"/>
      <c r="AH69" s="90"/>
      <c r="AI69" s="90"/>
      <c r="AJ69" s="211"/>
      <c r="AK69" s="211"/>
      <c r="AL69" s="211"/>
      <c r="AM69" s="211"/>
      <c r="AN69" s="127"/>
      <c r="AO69" s="211"/>
      <c r="AP69" s="90"/>
      <c r="AQ69" s="127"/>
      <c r="AR69" s="211"/>
      <c r="AS69" s="90"/>
      <c r="AT69" s="90"/>
      <c r="AU69" s="127"/>
      <c r="AV69" s="211"/>
      <c r="AW69" s="127"/>
      <c r="AX69" s="128"/>
      <c r="AY69" s="211"/>
      <c r="AZ69" s="129"/>
    </row>
    <row r="70" spans="1:52" x14ac:dyDescent="0.2">
      <c r="A70" s="239" t="s">
        <v>177</v>
      </c>
      <c r="B70" s="211"/>
      <c r="C70" s="213"/>
      <c r="D70" s="89"/>
      <c r="E70" s="90"/>
      <c r="F70" s="90"/>
      <c r="G70" s="90"/>
      <c r="H70" s="90"/>
      <c r="I70" s="90"/>
      <c r="J70" s="212"/>
      <c r="K70" s="212"/>
      <c r="L70" s="212"/>
      <c r="M70" s="212"/>
      <c r="N70" s="212"/>
      <c r="O70" s="212"/>
      <c r="P70" s="212"/>
      <c r="Q70" s="90"/>
      <c r="R70" s="90"/>
      <c r="S70" s="212"/>
      <c r="T70" s="212"/>
      <c r="U70" s="89"/>
      <c r="V70" s="90"/>
      <c r="W70" s="89"/>
      <c r="X70" s="90"/>
      <c r="Y70" s="213"/>
      <c r="Z70" s="213"/>
      <c r="AA70" s="213"/>
      <c r="AB70" s="213"/>
      <c r="AC70" s="213"/>
      <c r="AD70" s="213"/>
      <c r="AE70" s="89"/>
      <c r="AF70" s="90"/>
      <c r="AG70" s="90"/>
      <c r="AH70" s="90"/>
      <c r="AI70" s="90"/>
      <c r="AJ70" s="89"/>
      <c r="AK70" s="90"/>
      <c r="AL70" s="89"/>
      <c r="AM70" s="90"/>
      <c r="AN70" s="89"/>
      <c r="AO70" s="90"/>
      <c r="AP70" s="90"/>
      <c r="AQ70" s="89"/>
      <c r="AR70" s="90"/>
      <c r="AS70" s="90"/>
      <c r="AT70" s="90"/>
      <c r="AU70" s="89"/>
      <c r="AV70" s="90"/>
      <c r="AW70" s="89"/>
      <c r="AX70" s="90"/>
      <c r="AY70" s="90"/>
      <c r="AZ70" s="91"/>
    </row>
    <row r="71" spans="1:52" x14ac:dyDescent="0.2">
      <c r="A71" s="209" t="s">
        <v>178</v>
      </c>
      <c r="B71" s="211"/>
      <c r="C71" s="213"/>
      <c r="D71" s="89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89"/>
      <c r="V71" s="90"/>
      <c r="W71" s="89"/>
      <c r="X71" s="90"/>
      <c r="Y71" s="213"/>
      <c r="Z71" s="213"/>
      <c r="AA71" s="213"/>
      <c r="AB71" s="213"/>
      <c r="AC71" s="213"/>
      <c r="AD71" s="213"/>
      <c r="AE71" s="89"/>
      <c r="AF71" s="90"/>
      <c r="AG71" s="90"/>
      <c r="AH71" s="90"/>
      <c r="AI71" s="90"/>
      <c r="AJ71" s="89"/>
      <c r="AK71" s="90"/>
      <c r="AL71" s="89"/>
      <c r="AM71" s="90"/>
      <c r="AN71" s="89"/>
      <c r="AO71" s="90"/>
      <c r="AP71" s="90"/>
      <c r="AQ71" s="89"/>
      <c r="AR71" s="90"/>
      <c r="AS71" s="90"/>
      <c r="AT71" s="90"/>
      <c r="AU71" s="89"/>
      <c r="AV71" s="90"/>
      <c r="AW71" s="89"/>
      <c r="AX71" s="90"/>
      <c r="AY71" s="90"/>
      <c r="AZ71" s="91"/>
    </row>
    <row r="72" spans="1:52" x14ac:dyDescent="0.2">
      <c r="A72" s="238" t="s">
        <v>179</v>
      </c>
      <c r="B72" s="211"/>
      <c r="C72" s="213"/>
      <c r="D72" s="89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89"/>
      <c r="V72" s="90"/>
      <c r="W72" s="89"/>
      <c r="X72" s="90"/>
      <c r="Y72" s="213"/>
      <c r="Z72" s="213"/>
      <c r="AA72" s="213"/>
      <c r="AB72" s="213"/>
      <c r="AC72" s="213"/>
      <c r="AD72" s="213"/>
      <c r="AE72" s="89"/>
      <c r="AF72" s="90"/>
      <c r="AG72" s="90"/>
      <c r="AH72" s="90"/>
      <c r="AI72" s="90"/>
      <c r="AJ72" s="89"/>
      <c r="AK72" s="90"/>
      <c r="AL72" s="89"/>
      <c r="AM72" s="90"/>
      <c r="AN72" s="89"/>
      <c r="AO72" s="90"/>
      <c r="AP72" s="90"/>
      <c r="AQ72" s="89"/>
      <c r="AR72" s="90"/>
      <c r="AS72" s="90"/>
      <c r="AT72" s="90"/>
      <c r="AU72" s="89"/>
      <c r="AV72" s="90"/>
      <c r="AW72" s="89"/>
      <c r="AX72" s="90"/>
      <c r="AY72" s="90"/>
      <c r="AZ72" s="91"/>
    </row>
    <row r="73" spans="1:52" x14ac:dyDescent="0.2">
      <c r="A73" s="241" t="s">
        <v>180</v>
      </c>
      <c r="B73" s="211"/>
      <c r="C73" s="213"/>
      <c r="D73" s="89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89"/>
      <c r="V73" s="90"/>
      <c r="W73" s="89"/>
      <c r="X73" s="90"/>
      <c r="Y73" s="213"/>
      <c r="Z73" s="213"/>
      <c r="AA73" s="213"/>
      <c r="AB73" s="213"/>
      <c r="AC73" s="213"/>
      <c r="AD73" s="213"/>
      <c r="AE73" s="89"/>
      <c r="AF73" s="90"/>
      <c r="AG73" s="90"/>
      <c r="AH73" s="90"/>
      <c r="AI73" s="90"/>
      <c r="AJ73" s="89"/>
      <c r="AK73" s="90"/>
      <c r="AL73" s="89"/>
      <c r="AM73" s="90"/>
      <c r="AN73" s="89"/>
      <c r="AO73" s="90"/>
      <c r="AP73" s="90"/>
      <c r="AQ73" s="89"/>
      <c r="AR73" s="90"/>
      <c r="AS73" s="90"/>
      <c r="AT73" s="90"/>
      <c r="AU73" s="89"/>
      <c r="AV73" s="90"/>
      <c r="AW73" s="89"/>
      <c r="AX73" s="90"/>
      <c r="AY73" s="90"/>
      <c r="AZ73" s="91"/>
    </row>
    <row r="74" spans="1:52" x14ac:dyDescent="0.2">
      <c r="A74" s="242" t="s">
        <v>181</v>
      </c>
      <c r="B74" s="211"/>
      <c r="C74" s="213"/>
      <c r="D74" s="89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89"/>
      <c r="V74" s="90"/>
      <c r="W74" s="89"/>
      <c r="X74" s="90"/>
      <c r="Y74" s="213"/>
      <c r="Z74" s="213"/>
      <c r="AA74" s="213"/>
      <c r="AB74" s="213"/>
      <c r="AC74" s="213"/>
      <c r="AD74" s="213"/>
      <c r="AE74" s="89"/>
      <c r="AF74" s="90"/>
      <c r="AG74" s="90"/>
      <c r="AH74" s="90"/>
      <c r="AI74" s="90"/>
      <c r="AJ74" s="89"/>
      <c r="AK74" s="90"/>
      <c r="AL74" s="89"/>
      <c r="AM74" s="90"/>
      <c r="AN74" s="89"/>
      <c r="AO74" s="90"/>
      <c r="AP74" s="90"/>
      <c r="AQ74" s="89"/>
      <c r="AR74" s="90"/>
      <c r="AS74" s="90"/>
      <c r="AT74" s="90"/>
      <c r="AU74" s="89"/>
      <c r="AV74" s="90"/>
      <c r="AW74" s="89"/>
      <c r="AX74" s="90"/>
      <c r="AY74" s="90"/>
      <c r="AZ74" s="91"/>
    </row>
    <row r="75" spans="1:52" x14ac:dyDescent="0.2">
      <c r="A75" s="241" t="s">
        <v>182</v>
      </c>
      <c r="B75" s="211"/>
      <c r="C75" s="213"/>
      <c r="D75" s="89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89"/>
      <c r="V75" s="90"/>
      <c r="W75" s="89"/>
      <c r="X75" s="90"/>
      <c r="Y75" s="213"/>
      <c r="Z75" s="213"/>
      <c r="AA75" s="213"/>
      <c r="AB75" s="213"/>
      <c r="AC75" s="213"/>
      <c r="AD75" s="213"/>
      <c r="AE75" s="89"/>
      <c r="AF75" s="90"/>
      <c r="AG75" s="90"/>
      <c r="AH75" s="90"/>
      <c r="AI75" s="90"/>
      <c r="AJ75" s="89"/>
      <c r="AK75" s="90"/>
      <c r="AL75" s="89"/>
      <c r="AM75" s="90"/>
      <c r="AN75" s="89"/>
      <c r="AO75" s="90"/>
      <c r="AP75" s="90"/>
      <c r="AQ75" s="89"/>
      <c r="AR75" s="90"/>
      <c r="AS75" s="90"/>
      <c r="AT75" s="90"/>
      <c r="AU75" s="89"/>
      <c r="AV75" s="90"/>
      <c r="AW75" s="89"/>
      <c r="AX75" s="90"/>
      <c r="AY75" s="90"/>
      <c r="AZ75" s="91"/>
    </row>
    <row r="76" spans="1:52" x14ac:dyDescent="0.2">
      <c r="A76" s="240" t="s">
        <v>183</v>
      </c>
      <c r="B76" s="211"/>
      <c r="C76" s="213"/>
      <c r="D76" s="89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89"/>
      <c r="V76" s="90"/>
      <c r="W76" s="89"/>
      <c r="X76" s="90"/>
      <c r="Y76" s="213"/>
      <c r="Z76" s="213"/>
      <c r="AA76" s="213"/>
      <c r="AB76" s="213"/>
      <c r="AC76" s="213"/>
      <c r="AD76" s="213"/>
      <c r="AE76" s="89"/>
      <c r="AF76" s="90"/>
      <c r="AG76" s="90"/>
      <c r="AH76" s="90"/>
      <c r="AI76" s="90"/>
      <c r="AJ76" s="89"/>
      <c r="AK76" s="90"/>
      <c r="AL76" s="89"/>
      <c r="AM76" s="90"/>
      <c r="AN76" s="89"/>
      <c r="AO76" s="90"/>
      <c r="AP76" s="90"/>
      <c r="AQ76" s="89"/>
      <c r="AR76" s="90"/>
      <c r="AS76" s="90"/>
      <c r="AT76" s="90"/>
      <c r="AU76" s="89"/>
      <c r="AV76" s="90"/>
      <c r="AW76" s="89"/>
      <c r="AX76" s="90"/>
      <c r="AY76" s="90"/>
      <c r="AZ76" s="91"/>
    </row>
    <row r="77" spans="1:52" x14ac:dyDescent="0.2">
      <c r="A77" s="238" t="s">
        <v>184</v>
      </c>
      <c r="B77" s="211"/>
      <c r="C77" s="213"/>
      <c r="D77" s="89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89"/>
      <c r="V77" s="90"/>
      <c r="W77" s="89"/>
      <c r="X77" s="90"/>
      <c r="Y77" s="213"/>
      <c r="Z77" s="213"/>
      <c r="AA77" s="213"/>
      <c r="AB77" s="213"/>
      <c r="AC77" s="213"/>
      <c r="AD77" s="213"/>
      <c r="AE77" s="89"/>
      <c r="AF77" s="90"/>
      <c r="AG77" s="90"/>
      <c r="AH77" s="90"/>
      <c r="AI77" s="90"/>
      <c r="AJ77" s="89"/>
      <c r="AK77" s="90"/>
      <c r="AL77" s="89"/>
      <c r="AM77" s="90"/>
      <c r="AN77" s="89"/>
      <c r="AO77" s="90"/>
      <c r="AP77" s="90"/>
      <c r="AQ77" s="89"/>
      <c r="AR77" s="90"/>
      <c r="AS77" s="90"/>
      <c r="AT77" s="90"/>
      <c r="AU77" s="89"/>
      <c r="AV77" s="90"/>
      <c r="AW77" s="89"/>
      <c r="AX77" s="90"/>
      <c r="AY77" s="90"/>
      <c r="AZ77" s="91"/>
    </row>
    <row r="78" spans="1:52" x14ac:dyDescent="0.2">
      <c r="A78" s="209" t="s">
        <v>185</v>
      </c>
      <c r="B78" s="211"/>
      <c r="C78" s="213"/>
      <c r="D78" s="89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89"/>
      <c r="V78" s="90"/>
      <c r="W78" s="89"/>
      <c r="X78" s="90"/>
      <c r="Y78" s="213"/>
      <c r="Z78" s="213"/>
      <c r="AA78" s="213"/>
      <c r="AB78" s="213"/>
      <c r="AC78" s="213"/>
      <c r="AD78" s="213"/>
      <c r="AE78" s="89"/>
      <c r="AF78" s="90"/>
      <c r="AG78" s="90"/>
      <c r="AH78" s="90"/>
      <c r="AI78" s="90"/>
      <c r="AJ78" s="89"/>
      <c r="AK78" s="90"/>
      <c r="AL78" s="89"/>
      <c r="AM78" s="90"/>
      <c r="AN78" s="89"/>
      <c r="AO78" s="90"/>
      <c r="AP78" s="90"/>
      <c r="AQ78" s="89"/>
      <c r="AR78" s="90"/>
      <c r="AS78" s="90"/>
      <c r="AT78" s="90"/>
      <c r="AU78" s="89"/>
      <c r="AV78" s="90"/>
      <c r="AW78" s="89"/>
      <c r="AX78" s="90"/>
      <c r="AY78" s="90"/>
      <c r="AZ78" s="91"/>
    </row>
    <row r="79" spans="1:52" x14ac:dyDescent="0.2">
      <c r="A79" s="209" t="s">
        <v>186</v>
      </c>
      <c r="B79" s="211"/>
      <c r="C79" s="213"/>
      <c r="D79" s="89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89"/>
      <c r="V79" s="90"/>
      <c r="W79" s="89"/>
      <c r="X79" s="90"/>
      <c r="Y79" s="213"/>
      <c r="Z79" s="213"/>
      <c r="AA79" s="213"/>
      <c r="AB79" s="213"/>
      <c r="AC79" s="213"/>
      <c r="AD79" s="213"/>
      <c r="AE79" s="89"/>
      <c r="AF79" s="90"/>
      <c r="AG79" s="90"/>
      <c r="AH79" s="90"/>
      <c r="AI79" s="90"/>
      <c r="AJ79" s="89"/>
      <c r="AK79" s="90"/>
      <c r="AL79" s="89"/>
      <c r="AM79" s="90"/>
      <c r="AN79" s="89"/>
      <c r="AO79" s="90"/>
      <c r="AP79" s="90"/>
      <c r="AQ79" s="89"/>
      <c r="AR79" s="90"/>
      <c r="AS79" s="90"/>
      <c r="AT79" s="90"/>
      <c r="AU79" s="89"/>
      <c r="AV79" s="90"/>
      <c r="AW79" s="89"/>
      <c r="AX79" s="90"/>
      <c r="AY79" s="90"/>
      <c r="AZ79" s="91"/>
    </row>
    <row r="80" spans="1:52" x14ac:dyDescent="0.2">
      <c r="A80" s="214" t="s">
        <v>187</v>
      </c>
      <c r="B80" s="211"/>
      <c r="C80" s="213"/>
      <c r="D80" s="89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89"/>
      <c r="V80" s="90"/>
      <c r="W80" s="89"/>
      <c r="X80" s="90"/>
      <c r="Y80" s="213"/>
      <c r="Z80" s="213"/>
      <c r="AA80" s="213"/>
      <c r="AB80" s="213"/>
      <c r="AC80" s="213"/>
      <c r="AD80" s="213"/>
      <c r="AE80" s="89"/>
      <c r="AF80" s="90"/>
      <c r="AG80" s="90"/>
      <c r="AH80" s="90"/>
      <c r="AI80" s="90"/>
      <c r="AJ80" s="89"/>
      <c r="AK80" s="90"/>
      <c r="AL80" s="89"/>
      <c r="AM80" s="90"/>
      <c r="AN80" s="89"/>
      <c r="AO80" s="90"/>
      <c r="AP80" s="90"/>
      <c r="AQ80" s="89"/>
      <c r="AR80" s="90"/>
      <c r="AS80" s="90"/>
      <c r="AT80" s="90"/>
      <c r="AU80" s="89"/>
      <c r="AV80" s="90"/>
      <c r="AW80" s="89"/>
      <c r="AX80" s="90"/>
      <c r="AY80" s="90"/>
      <c r="AZ80" s="91"/>
    </row>
    <row r="81" spans="1:52" x14ac:dyDescent="0.2">
      <c r="A81" s="209" t="s">
        <v>188</v>
      </c>
      <c r="B81" s="211"/>
      <c r="C81" s="213"/>
      <c r="D81" s="89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89"/>
      <c r="V81" s="90"/>
      <c r="W81" s="89"/>
      <c r="X81" s="90"/>
      <c r="Y81" s="213"/>
      <c r="Z81" s="213"/>
      <c r="AA81" s="213"/>
      <c r="AB81" s="213"/>
      <c r="AC81" s="213"/>
      <c r="AD81" s="213"/>
      <c r="AE81" s="89"/>
      <c r="AF81" s="90"/>
      <c r="AG81" s="90"/>
      <c r="AH81" s="90"/>
      <c r="AI81" s="90"/>
      <c r="AJ81" s="89"/>
      <c r="AK81" s="90"/>
      <c r="AL81" s="89"/>
      <c r="AM81" s="90"/>
      <c r="AN81" s="89"/>
      <c r="AO81" s="90"/>
      <c r="AP81" s="90"/>
      <c r="AQ81" s="89"/>
      <c r="AR81" s="90"/>
      <c r="AS81" s="90"/>
      <c r="AT81" s="90"/>
      <c r="AU81" s="89"/>
      <c r="AV81" s="90"/>
      <c r="AW81" s="89"/>
      <c r="AX81" s="90"/>
      <c r="AY81" s="90"/>
      <c r="AZ81" s="91"/>
    </row>
    <row r="82" spans="1:52" ht="15" x14ac:dyDescent="0.25">
      <c r="A82" s="243" t="s">
        <v>189</v>
      </c>
      <c r="B82" s="211"/>
      <c r="C82" s="213"/>
      <c r="D82" s="89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89"/>
      <c r="V82" s="90"/>
      <c r="W82" s="89"/>
      <c r="X82" s="90"/>
      <c r="Y82" s="213"/>
      <c r="Z82" s="213"/>
      <c r="AA82" s="213"/>
      <c r="AB82" s="213"/>
      <c r="AC82" s="213"/>
      <c r="AD82" s="213"/>
      <c r="AE82" s="89"/>
      <c r="AF82" s="90"/>
      <c r="AG82" s="90"/>
      <c r="AH82" s="90"/>
      <c r="AI82" s="90"/>
      <c r="AJ82" s="89"/>
      <c r="AK82" s="90"/>
      <c r="AL82" s="89"/>
      <c r="AM82" s="90"/>
      <c r="AN82" s="89"/>
      <c r="AO82" s="90"/>
      <c r="AP82" s="90"/>
      <c r="AQ82" s="89"/>
      <c r="AR82" s="90"/>
      <c r="AS82" s="90"/>
      <c r="AT82" s="90"/>
      <c r="AU82" s="89"/>
      <c r="AV82" s="90"/>
      <c r="AW82" s="89"/>
      <c r="AX82" s="90"/>
      <c r="AY82" s="90"/>
      <c r="AZ82" s="91"/>
    </row>
    <row r="83" spans="1:52" x14ac:dyDescent="0.2">
      <c r="A83" s="215" t="s">
        <v>104</v>
      </c>
      <c r="B83" s="216"/>
      <c r="C83" s="216"/>
      <c r="D83" s="93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3"/>
      <c r="V83" s="94"/>
      <c r="W83" s="93"/>
      <c r="X83" s="94"/>
      <c r="Y83" s="216"/>
      <c r="Z83" s="216"/>
      <c r="AA83" s="216"/>
      <c r="AB83" s="216"/>
      <c r="AC83" s="216"/>
      <c r="AD83" s="216"/>
      <c r="AE83" s="93"/>
      <c r="AF83" s="94"/>
      <c r="AG83" s="94"/>
      <c r="AH83" s="94"/>
      <c r="AI83" s="94"/>
      <c r="AJ83" s="93"/>
      <c r="AK83" s="94"/>
      <c r="AL83" s="93"/>
      <c r="AM83" s="94"/>
      <c r="AN83" s="93"/>
      <c r="AO83" s="94"/>
      <c r="AP83" s="94"/>
      <c r="AQ83" s="93"/>
      <c r="AR83" s="94"/>
      <c r="AS83" s="94"/>
      <c r="AT83" s="94"/>
      <c r="AU83" s="93"/>
      <c r="AV83" s="94"/>
      <c r="AW83" s="93"/>
      <c r="AX83" s="94"/>
      <c r="AY83" s="94"/>
      <c r="AZ83" s="95"/>
    </row>
    <row r="84" spans="1:52" x14ac:dyDescent="0.2">
      <c r="A84" s="209" t="s">
        <v>150</v>
      </c>
      <c r="B84" s="213"/>
      <c r="C84" s="213"/>
      <c r="D84" s="89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89"/>
      <c r="V84" s="90"/>
      <c r="W84" s="89"/>
      <c r="X84" s="90"/>
      <c r="Y84" s="213"/>
      <c r="Z84" s="213"/>
      <c r="AA84" s="213"/>
      <c r="AB84" s="213"/>
      <c r="AC84" s="213"/>
      <c r="AD84" s="213"/>
      <c r="AE84" s="89"/>
      <c r="AF84" s="90"/>
      <c r="AG84" s="90"/>
      <c r="AH84" s="90"/>
      <c r="AI84" s="90"/>
      <c r="AJ84" s="89"/>
      <c r="AK84" s="90"/>
      <c r="AL84" s="89"/>
      <c r="AM84" s="90"/>
      <c r="AN84" s="89"/>
      <c r="AO84" s="90"/>
      <c r="AP84" s="90"/>
      <c r="AQ84" s="89"/>
      <c r="AR84" s="90"/>
      <c r="AS84" s="90"/>
      <c r="AT84" s="90"/>
      <c r="AU84" s="89"/>
      <c r="AV84" s="90"/>
      <c r="AW84" s="89"/>
      <c r="AX84" s="90"/>
      <c r="AY84" s="90"/>
      <c r="AZ84" s="91"/>
    </row>
    <row r="85" spans="1:52" x14ac:dyDescent="0.2">
      <c r="A85" s="217" t="s">
        <v>105</v>
      </c>
      <c r="B85" s="216"/>
      <c r="C85" s="216"/>
      <c r="D85" s="93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3"/>
      <c r="V85" s="94"/>
      <c r="W85" s="93"/>
      <c r="X85" s="94"/>
      <c r="Y85" s="216"/>
      <c r="Z85" s="216"/>
      <c r="AA85" s="216"/>
      <c r="AB85" s="216"/>
      <c r="AC85" s="216"/>
      <c r="AD85" s="216"/>
      <c r="AE85" s="93"/>
      <c r="AF85" s="94"/>
      <c r="AG85" s="94"/>
      <c r="AH85" s="94"/>
      <c r="AI85" s="94"/>
      <c r="AJ85" s="93"/>
      <c r="AK85" s="94"/>
      <c r="AL85" s="93"/>
      <c r="AM85" s="94"/>
      <c r="AN85" s="93"/>
      <c r="AO85" s="94"/>
      <c r="AP85" s="94"/>
      <c r="AQ85" s="93"/>
      <c r="AR85" s="94"/>
      <c r="AS85" s="94"/>
      <c r="AT85" s="94"/>
      <c r="AU85" s="93"/>
      <c r="AV85" s="94"/>
      <c r="AW85" s="93"/>
      <c r="AX85" s="94"/>
      <c r="AY85" s="94"/>
      <c r="AZ85" s="95"/>
    </row>
    <row r="86" spans="1:52" s="134" customFormat="1" x14ac:dyDescent="0.2">
      <c r="A86" s="218" t="s">
        <v>142</v>
      </c>
      <c r="B86" s="219"/>
      <c r="C86" s="219"/>
      <c r="D86" s="131"/>
      <c r="E86" s="132"/>
      <c r="F86" s="131"/>
      <c r="G86" s="132"/>
      <c r="H86" s="131"/>
      <c r="I86" s="132"/>
      <c r="J86" s="132"/>
      <c r="K86" s="132"/>
      <c r="L86" s="132"/>
      <c r="M86" s="132"/>
      <c r="N86" s="132"/>
      <c r="O86" s="132"/>
      <c r="P86" s="132"/>
      <c r="Q86" s="131"/>
      <c r="R86" s="132"/>
      <c r="S86" s="132"/>
      <c r="T86" s="132"/>
      <c r="U86" s="131"/>
      <c r="V86" s="132"/>
      <c r="W86" s="131"/>
      <c r="X86" s="132"/>
      <c r="Y86" s="219"/>
      <c r="Z86" s="219"/>
      <c r="AA86" s="219"/>
      <c r="AB86" s="219"/>
      <c r="AC86" s="219"/>
      <c r="AD86" s="219"/>
      <c r="AE86" s="131"/>
      <c r="AF86" s="132"/>
      <c r="AG86" s="132"/>
      <c r="AH86" s="132"/>
      <c r="AI86" s="132"/>
      <c r="AJ86" s="131"/>
      <c r="AK86" s="132"/>
      <c r="AL86" s="131"/>
      <c r="AM86" s="132"/>
      <c r="AN86" s="131"/>
      <c r="AO86" s="132"/>
      <c r="AP86" s="132"/>
      <c r="AQ86" s="131"/>
      <c r="AR86" s="132"/>
      <c r="AS86" s="132"/>
      <c r="AT86" s="132"/>
      <c r="AU86" s="131"/>
      <c r="AV86" s="132"/>
      <c r="AW86" s="131"/>
      <c r="AX86" s="132"/>
      <c r="AY86" s="132"/>
      <c r="AZ86" s="133"/>
    </row>
    <row r="87" spans="1:52" s="134" customFormat="1" x14ac:dyDescent="0.2">
      <c r="A87" s="220" t="s">
        <v>143</v>
      </c>
      <c r="B87" s="219"/>
      <c r="C87" s="219"/>
      <c r="D87" s="131"/>
      <c r="E87" s="132"/>
      <c r="F87" s="131"/>
      <c r="G87" s="132"/>
      <c r="H87" s="131"/>
      <c r="I87" s="132"/>
      <c r="J87" s="132"/>
      <c r="K87" s="132"/>
      <c r="L87" s="132"/>
      <c r="M87" s="132"/>
      <c r="N87" s="132"/>
      <c r="O87" s="132"/>
      <c r="P87" s="132"/>
      <c r="Q87" s="131"/>
      <c r="R87" s="132"/>
      <c r="S87" s="132"/>
      <c r="T87" s="132"/>
      <c r="U87" s="131"/>
      <c r="V87" s="132"/>
      <c r="W87" s="131"/>
      <c r="X87" s="132"/>
      <c r="Y87" s="219"/>
      <c r="Z87" s="219"/>
      <c r="AA87" s="219"/>
      <c r="AB87" s="219"/>
      <c r="AC87" s="219"/>
      <c r="AD87" s="219"/>
      <c r="AE87" s="131"/>
      <c r="AF87" s="132"/>
      <c r="AG87" s="132"/>
      <c r="AH87" s="132"/>
      <c r="AI87" s="132"/>
      <c r="AJ87" s="131"/>
      <c r="AK87" s="132"/>
      <c r="AL87" s="131"/>
      <c r="AM87" s="132"/>
      <c r="AN87" s="131"/>
      <c r="AO87" s="132"/>
      <c r="AP87" s="132"/>
      <c r="AQ87" s="131"/>
      <c r="AR87" s="132"/>
      <c r="AS87" s="132"/>
      <c r="AT87" s="132"/>
      <c r="AU87" s="131"/>
      <c r="AV87" s="132"/>
      <c r="AW87" s="131"/>
      <c r="AX87" s="132"/>
      <c r="AY87" s="132"/>
      <c r="AZ87" s="133"/>
    </row>
    <row r="88" spans="1:52" s="134" customFormat="1" x14ac:dyDescent="0.2">
      <c r="A88" s="251" t="s">
        <v>190</v>
      </c>
      <c r="B88" s="219"/>
      <c r="C88" s="219"/>
      <c r="D88" s="131"/>
      <c r="E88" s="132"/>
      <c r="F88" s="131"/>
      <c r="G88" s="132"/>
      <c r="H88" s="131"/>
      <c r="I88" s="132"/>
      <c r="J88" s="132"/>
      <c r="K88" s="132"/>
      <c r="L88" s="132"/>
      <c r="M88" s="132"/>
      <c r="N88" s="132"/>
      <c r="O88" s="132"/>
      <c r="P88" s="132"/>
      <c r="Q88" s="131"/>
      <c r="R88" s="132"/>
      <c r="S88" s="132"/>
      <c r="T88" s="132"/>
      <c r="U88" s="131"/>
      <c r="V88" s="132"/>
      <c r="W88" s="131"/>
      <c r="X88" s="132"/>
      <c r="Y88" s="219"/>
      <c r="Z88" s="219"/>
      <c r="AA88" s="219"/>
      <c r="AB88" s="219"/>
      <c r="AC88" s="219"/>
      <c r="AD88" s="219"/>
      <c r="AE88" s="131"/>
      <c r="AF88" s="132"/>
      <c r="AG88" s="132"/>
      <c r="AH88" s="132"/>
      <c r="AI88" s="132"/>
      <c r="AJ88" s="131"/>
      <c r="AK88" s="132"/>
      <c r="AL88" s="131"/>
      <c r="AM88" s="132"/>
      <c r="AN88" s="131"/>
      <c r="AO88" s="132"/>
      <c r="AP88" s="132"/>
      <c r="AQ88" s="131"/>
      <c r="AR88" s="132"/>
      <c r="AS88" s="132"/>
      <c r="AT88" s="132"/>
      <c r="AU88" s="131"/>
      <c r="AV88" s="132"/>
      <c r="AW88" s="131"/>
      <c r="AX88" s="132"/>
      <c r="AY88" s="132"/>
      <c r="AZ88" s="133"/>
    </row>
    <row r="89" spans="1:52" s="250" customFormat="1" x14ac:dyDescent="0.2">
      <c r="A89" s="245" t="s">
        <v>191</v>
      </c>
      <c r="B89" s="246"/>
      <c r="C89" s="246"/>
      <c r="D89" s="247"/>
      <c r="E89" s="248"/>
      <c r="F89" s="247"/>
      <c r="G89" s="248"/>
      <c r="H89" s="247"/>
      <c r="I89" s="248"/>
      <c r="J89" s="248"/>
      <c r="K89" s="248"/>
      <c r="L89" s="248"/>
      <c r="M89" s="248"/>
      <c r="N89" s="248"/>
      <c r="O89" s="248"/>
      <c r="P89" s="248"/>
      <c r="Q89" s="247"/>
      <c r="R89" s="248"/>
      <c r="S89" s="248"/>
      <c r="T89" s="248"/>
      <c r="U89" s="247"/>
      <c r="V89" s="248"/>
      <c r="W89" s="247"/>
      <c r="X89" s="248"/>
      <c r="Y89" s="246"/>
      <c r="Z89" s="246"/>
      <c r="AA89" s="246"/>
      <c r="AB89" s="246"/>
      <c r="AC89" s="246"/>
      <c r="AD89" s="246"/>
      <c r="AE89" s="247"/>
      <c r="AF89" s="248"/>
      <c r="AG89" s="248"/>
      <c r="AH89" s="248"/>
      <c r="AI89" s="248"/>
      <c r="AJ89" s="247"/>
      <c r="AK89" s="248"/>
      <c r="AL89" s="247"/>
      <c r="AM89" s="248"/>
      <c r="AN89" s="247"/>
      <c r="AO89" s="248"/>
      <c r="AP89" s="248"/>
      <c r="AQ89" s="247"/>
      <c r="AR89" s="248"/>
      <c r="AS89" s="248"/>
      <c r="AT89" s="248"/>
      <c r="AU89" s="247"/>
      <c r="AV89" s="248"/>
      <c r="AW89" s="247"/>
      <c r="AX89" s="248"/>
      <c r="AY89" s="248"/>
      <c r="AZ89" s="249"/>
    </row>
    <row r="90" spans="1:52" s="134" customFormat="1" x14ac:dyDescent="0.2">
      <c r="A90" s="244" t="s">
        <v>192</v>
      </c>
      <c r="B90" s="219"/>
      <c r="C90" s="219"/>
      <c r="D90" s="131"/>
      <c r="E90" s="132"/>
      <c r="F90" s="131"/>
      <c r="G90" s="132"/>
      <c r="H90" s="131"/>
      <c r="I90" s="132"/>
      <c r="J90" s="132"/>
      <c r="K90" s="132"/>
      <c r="L90" s="132"/>
      <c r="M90" s="132"/>
      <c r="N90" s="132"/>
      <c r="O90" s="132"/>
      <c r="P90" s="132"/>
      <c r="Q90" s="131"/>
      <c r="R90" s="132"/>
      <c r="S90" s="132"/>
      <c r="T90" s="132"/>
      <c r="U90" s="131"/>
      <c r="V90" s="132"/>
      <c r="W90" s="131"/>
      <c r="X90" s="132"/>
      <c r="Y90" s="219"/>
      <c r="Z90" s="219"/>
      <c r="AA90" s="219"/>
      <c r="AB90" s="219"/>
      <c r="AC90" s="219"/>
      <c r="AD90" s="219"/>
      <c r="AE90" s="131"/>
      <c r="AF90" s="132"/>
      <c r="AG90" s="132"/>
      <c r="AH90" s="132"/>
      <c r="AI90" s="132"/>
      <c r="AJ90" s="131"/>
      <c r="AK90" s="132"/>
      <c r="AL90" s="131"/>
      <c r="AM90" s="132"/>
      <c r="AN90" s="131"/>
      <c r="AO90" s="132"/>
      <c r="AP90" s="132"/>
      <c r="AQ90" s="131"/>
      <c r="AR90" s="132"/>
      <c r="AS90" s="132"/>
      <c r="AT90" s="132"/>
      <c r="AU90" s="131"/>
      <c r="AV90" s="132"/>
      <c r="AW90" s="131"/>
      <c r="AX90" s="132"/>
      <c r="AY90" s="132"/>
      <c r="AZ90" s="133"/>
    </row>
    <row r="91" spans="1:52" s="92" customFormat="1" x14ac:dyDescent="0.2">
      <c r="A91" s="215"/>
      <c r="B91" s="216"/>
      <c r="C91" s="216"/>
      <c r="D91" s="93"/>
      <c r="E91" s="94"/>
      <c r="F91" s="93"/>
      <c r="G91" s="94"/>
      <c r="H91" s="93"/>
      <c r="I91" s="94"/>
      <c r="J91" s="94"/>
      <c r="K91" s="94"/>
      <c r="L91" s="94"/>
      <c r="M91" s="94"/>
      <c r="N91" s="94"/>
      <c r="O91" s="94"/>
      <c r="P91" s="94"/>
      <c r="Q91" s="93"/>
      <c r="R91" s="94"/>
      <c r="S91" s="94"/>
      <c r="T91" s="94"/>
      <c r="U91" s="93"/>
      <c r="V91" s="94"/>
      <c r="W91" s="93"/>
      <c r="X91" s="94"/>
      <c r="Y91" s="216"/>
      <c r="Z91" s="216"/>
      <c r="AA91" s="216"/>
      <c r="AB91" s="216"/>
      <c r="AC91" s="216"/>
      <c r="AD91" s="216"/>
      <c r="AE91" s="93"/>
      <c r="AF91" s="94"/>
      <c r="AG91" s="94"/>
      <c r="AH91" s="94"/>
      <c r="AI91" s="94"/>
      <c r="AJ91" s="93"/>
      <c r="AK91" s="94"/>
      <c r="AL91" s="93"/>
      <c r="AM91" s="94"/>
      <c r="AN91" s="93"/>
      <c r="AO91" s="94"/>
      <c r="AP91" s="94"/>
      <c r="AQ91" s="93"/>
      <c r="AR91" s="94"/>
      <c r="AS91" s="94"/>
      <c r="AT91" s="94"/>
      <c r="AU91" s="93"/>
      <c r="AV91" s="94"/>
      <c r="AW91" s="93"/>
      <c r="AX91" s="94"/>
      <c r="AY91" s="94"/>
      <c r="AZ91" s="95"/>
    </row>
    <row r="92" spans="1:52" s="92" customFormat="1" x14ac:dyDescent="0.2">
      <c r="A92" s="96" t="s">
        <v>31</v>
      </c>
      <c r="B92" s="97"/>
      <c r="C92" s="98"/>
      <c r="D92" s="99"/>
      <c r="E92" s="100"/>
      <c r="F92" s="99"/>
      <c r="G92" s="100"/>
      <c r="H92" s="99"/>
      <c r="I92" s="100"/>
      <c r="J92" s="100"/>
      <c r="K92" s="100"/>
      <c r="L92" s="100"/>
      <c r="M92" s="100"/>
      <c r="N92" s="100"/>
      <c r="O92" s="100"/>
      <c r="P92" s="100"/>
      <c r="Q92" s="99"/>
      <c r="R92" s="100"/>
      <c r="S92" s="100"/>
      <c r="T92" s="100"/>
      <c r="U92" s="99"/>
      <c r="V92" s="100"/>
      <c r="W92" s="99"/>
      <c r="X92" s="100"/>
      <c r="Y92" s="97"/>
      <c r="Z92" s="97"/>
      <c r="AA92" s="97"/>
      <c r="AB92" s="97"/>
      <c r="AC92" s="97"/>
      <c r="AD92" s="97"/>
      <c r="AE92" s="99"/>
      <c r="AF92" s="100"/>
      <c r="AG92" s="100"/>
      <c r="AH92" s="100"/>
      <c r="AI92" s="100"/>
      <c r="AJ92" s="99"/>
      <c r="AK92" s="100"/>
      <c r="AL92" s="99"/>
      <c r="AM92" s="100"/>
      <c r="AN92" s="99"/>
      <c r="AO92" s="100"/>
      <c r="AP92" s="100"/>
      <c r="AQ92" s="99"/>
      <c r="AR92" s="100"/>
      <c r="AS92" s="100"/>
      <c r="AT92" s="100"/>
      <c r="AU92" s="99"/>
      <c r="AV92" s="100"/>
      <c r="AW92" s="99"/>
      <c r="AX92" s="100"/>
      <c r="AY92" s="100"/>
      <c r="AZ92" s="101"/>
    </row>
    <row r="93" spans="1:52" x14ac:dyDescent="0.2">
      <c r="A93" s="221" t="s">
        <v>50</v>
      </c>
      <c r="B93" s="222"/>
      <c r="C93" s="222"/>
      <c r="D93" s="222"/>
      <c r="E93" s="222"/>
      <c r="F93" s="113"/>
      <c r="G93" s="222"/>
      <c r="H93" s="113"/>
      <c r="I93" s="222"/>
      <c r="J93" s="222"/>
      <c r="K93" s="222"/>
      <c r="L93" s="222"/>
      <c r="M93" s="222"/>
      <c r="N93" s="222"/>
      <c r="O93" s="222"/>
      <c r="P93" s="222"/>
      <c r="Q93" s="113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3"/>
      <c r="AK93" s="222"/>
      <c r="AL93" s="223"/>
      <c r="AM93" s="222"/>
      <c r="AN93" s="113"/>
      <c r="AO93" s="222"/>
      <c r="AP93" s="222"/>
      <c r="AQ93" s="113"/>
      <c r="AR93" s="222"/>
      <c r="AS93" s="222"/>
      <c r="AT93" s="222"/>
      <c r="AU93" s="113"/>
      <c r="AV93" s="222"/>
      <c r="AW93" s="113"/>
      <c r="AX93" s="135"/>
      <c r="AY93" s="222"/>
      <c r="AZ93" s="102"/>
    </row>
    <row r="94" spans="1:52" x14ac:dyDescent="0.2">
      <c r="A94" s="136"/>
      <c r="B94" s="224"/>
      <c r="C94" s="137"/>
      <c r="D94" s="138"/>
      <c r="E94" s="139"/>
      <c r="F94" s="138"/>
      <c r="G94" s="139"/>
      <c r="H94" s="138"/>
      <c r="I94" s="139"/>
      <c r="J94" s="139"/>
      <c r="K94" s="139"/>
      <c r="L94" s="139"/>
      <c r="M94" s="139"/>
      <c r="N94" s="139"/>
      <c r="O94" s="139"/>
      <c r="P94" s="139"/>
      <c r="Q94" s="138"/>
      <c r="R94" s="139"/>
      <c r="S94" s="139"/>
      <c r="T94" s="139"/>
      <c r="U94" s="138"/>
      <c r="V94" s="139"/>
      <c r="W94" s="138"/>
      <c r="X94" s="139"/>
      <c r="Y94" s="224"/>
      <c r="Z94" s="224"/>
      <c r="AA94" s="224"/>
      <c r="AB94" s="224"/>
      <c r="AC94" s="224"/>
      <c r="AD94" s="224"/>
      <c r="AE94" s="138"/>
      <c r="AF94" s="139"/>
      <c r="AG94" s="139"/>
      <c r="AH94" s="139"/>
      <c r="AI94" s="139"/>
      <c r="AJ94" s="138"/>
      <c r="AK94" s="139"/>
      <c r="AL94" s="138"/>
      <c r="AM94" s="139"/>
      <c r="AN94" s="138"/>
      <c r="AO94" s="139"/>
      <c r="AP94" s="139"/>
      <c r="AQ94" s="138"/>
      <c r="AR94" s="139"/>
      <c r="AS94" s="139"/>
      <c r="AT94" s="139"/>
      <c r="AU94" s="138"/>
      <c r="AV94" s="139"/>
      <c r="AW94" s="138"/>
      <c r="AX94" s="139"/>
      <c r="AY94" s="139"/>
      <c r="AZ94" s="140"/>
    </row>
    <row r="95" spans="1:52" x14ac:dyDescent="0.2">
      <c r="A95" s="96" t="s">
        <v>52</v>
      </c>
      <c r="B95" s="97"/>
      <c r="C95" s="98"/>
      <c r="D95" s="99"/>
      <c r="E95" s="100"/>
      <c r="F95" s="99"/>
      <c r="G95" s="100"/>
      <c r="H95" s="99"/>
      <c r="I95" s="100"/>
      <c r="J95" s="100"/>
      <c r="K95" s="100"/>
      <c r="L95" s="100"/>
      <c r="M95" s="100"/>
      <c r="N95" s="100"/>
      <c r="O95" s="100"/>
      <c r="P95" s="100"/>
      <c r="Q95" s="99"/>
      <c r="R95" s="100"/>
      <c r="S95" s="100"/>
      <c r="T95" s="100"/>
      <c r="U95" s="99"/>
      <c r="V95" s="100"/>
      <c r="W95" s="99"/>
      <c r="X95" s="100"/>
      <c r="Y95" s="97"/>
      <c r="Z95" s="97"/>
      <c r="AA95" s="97"/>
      <c r="AB95" s="97"/>
      <c r="AC95" s="97"/>
      <c r="AD95" s="97"/>
      <c r="AE95" s="99"/>
      <c r="AF95" s="100"/>
      <c r="AG95" s="100"/>
      <c r="AH95" s="100"/>
      <c r="AI95" s="100"/>
      <c r="AJ95" s="99"/>
      <c r="AK95" s="100"/>
      <c r="AL95" s="99"/>
      <c r="AM95" s="100"/>
      <c r="AN95" s="99"/>
      <c r="AO95" s="100"/>
      <c r="AP95" s="100"/>
      <c r="AQ95" s="99"/>
      <c r="AR95" s="100"/>
      <c r="AS95" s="100"/>
      <c r="AT95" s="100"/>
      <c r="AU95" s="99"/>
      <c r="AV95" s="100"/>
      <c r="AW95" s="99"/>
      <c r="AX95" s="100"/>
      <c r="AY95" s="100"/>
      <c r="AZ95" s="101"/>
    </row>
    <row r="96" spans="1:52" x14ac:dyDescent="0.2">
      <c r="A96" s="221" t="s">
        <v>56</v>
      </c>
      <c r="B96" s="222"/>
      <c r="C96" s="222"/>
      <c r="D96" s="222"/>
      <c r="E96" s="222"/>
      <c r="F96" s="113"/>
      <c r="G96" s="222"/>
      <c r="H96" s="113"/>
      <c r="I96" s="222"/>
      <c r="J96" s="222"/>
      <c r="K96" s="222"/>
      <c r="L96" s="222"/>
      <c r="M96" s="222"/>
      <c r="N96" s="222"/>
      <c r="O96" s="222"/>
      <c r="P96" s="222"/>
      <c r="Q96" s="113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3"/>
      <c r="AK96" s="222"/>
      <c r="AL96" s="223"/>
      <c r="AM96" s="222"/>
      <c r="AN96" s="113"/>
      <c r="AO96" s="222"/>
      <c r="AP96" s="222"/>
      <c r="AQ96" s="113"/>
      <c r="AR96" s="222"/>
      <c r="AS96" s="222"/>
      <c r="AT96" s="222"/>
      <c r="AU96" s="113"/>
      <c r="AV96" s="222"/>
      <c r="AW96" s="113"/>
      <c r="AX96" s="135"/>
      <c r="AY96" s="222"/>
      <c r="AZ96" s="102"/>
    </row>
    <row r="97" spans="1:52" x14ac:dyDescent="0.2">
      <c r="A97" s="221" t="s">
        <v>54</v>
      </c>
      <c r="B97" s="222"/>
      <c r="C97" s="222"/>
      <c r="D97" s="222"/>
      <c r="E97" s="222"/>
      <c r="F97" s="113"/>
      <c r="G97" s="222"/>
      <c r="H97" s="113"/>
      <c r="I97" s="222"/>
      <c r="J97" s="222"/>
      <c r="K97" s="222"/>
      <c r="L97" s="222"/>
      <c r="M97" s="222"/>
      <c r="N97" s="222"/>
      <c r="O97" s="222"/>
      <c r="P97" s="222"/>
      <c r="Q97" s="113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3"/>
      <c r="AK97" s="222"/>
      <c r="AL97" s="223"/>
      <c r="AM97" s="222"/>
      <c r="AN97" s="113"/>
      <c r="AO97" s="222"/>
      <c r="AP97" s="222"/>
      <c r="AQ97" s="113"/>
      <c r="AR97" s="222"/>
      <c r="AS97" s="222"/>
      <c r="AT97" s="222"/>
      <c r="AU97" s="113"/>
      <c r="AV97" s="222"/>
      <c r="AW97" s="113"/>
      <c r="AX97" s="135"/>
      <c r="AY97" s="222"/>
      <c r="AZ97" s="102"/>
    </row>
    <row r="98" spans="1:52" x14ac:dyDescent="0.2">
      <c r="A98" s="221" t="s">
        <v>55</v>
      </c>
      <c r="B98" s="222"/>
      <c r="C98" s="222"/>
      <c r="D98" s="222"/>
      <c r="E98" s="222"/>
      <c r="F98" s="113"/>
      <c r="G98" s="222"/>
      <c r="H98" s="113"/>
      <c r="I98" s="222"/>
      <c r="J98" s="222"/>
      <c r="K98" s="222"/>
      <c r="L98" s="222"/>
      <c r="M98" s="222"/>
      <c r="N98" s="222"/>
      <c r="O98" s="222"/>
      <c r="P98" s="222"/>
      <c r="Q98" s="113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3"/>
      <c r="AK98" s="222"/>
      <c r="AL98" s="223"/>
      <c r="AM98" s="222"/>
      <c r="AN98" s="113"/>
      <c r="AO98" s="222"/>
      <c r="AP98" s="222"/>
      <c r="AQ98" s="113"/>
      <c r="AR98" s="222"/>
      <c r="AS98" s="222"/>
      <c r="AT98" s="222"/>
      <c r="AU98" s="113"/>
      <c r="AV98" s="222"/>
      <c r="AW98" s="113"/>
      <c r="AX98" s="135"/>
      <c r="AY98" s="222"/>
      <c r="AZ98" s="102"/>
    </row>
    <row r="99" spans="1:52" x14ac:dyDescent="0.2">
      <c r="A99" s="221" t="s">
        <v>57</v>
      </c>
      <c r="B99" s="222"/>
      <c r="C99" s="222"/>
      <c r="D99" s="222"/>
      <c r="E99" s="222"/>
      <c r="F99" s="113"/>
      <c r="G99" s="222"/>
      <c r="H99" s="113"/>
      <c r="I99" s="222"/>
      <c r="J99" s="222"/>
      <c r="K99" s="222"/>
      <c r="L99" s="222"/>
      <c r="M99" s="222"/>
      <c r="N99" s="222"/>
      <c r="O99" s="222"/>
      <c r="P99" s="222"/>
      <c r="Q99" s="113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3"/>
      <c r="AK99" s="222"/>
      <c r="AL99" s="223"/>
      <c r="AM99" s="222"/>
      <c r="AN99" s="113"/>
      <c r="AO99" s="222"/>
      <c r="AP99" s="222"/>
      <c r="AQ99" s="113"/>
      <c r="AR99" s="222"/>
      <c r="AS99" s="222"/>
      <c r="AT99" s="222"/>
      <c r="AU99" s="113"/>
      <c r="AV99" s="222"/>
      <c r="AW99" s="113"/>
      <c r="AX99" s="135"/>
      <c r="AY99" s="222"/>
      <c r="AZ99" s="102"/>
    </row>
    <row r="100" spans="1:52" x14ac:dyDescent="0.2">
      <c r="A100" s="221" t="s">
        <v>53</v>
      </c>
      <c r="B100" s="222"/>
      <c r="C100" s="222"/>
      <c r="D100" s="222"/>
      <c r="E100" s="222"/>
      <c r="F100" s="113"/>
      <c r="G100" s="222"/>
      <c r="H100" s="113"/>
      <c r="I100" s="222"/>
      <c r="J100" s="222"/>
      <c r="K100" s="222"/>
      <c r="L100" s="222"/>
      <c r="M100" s="222"/>
      <c r="N100" s="222"/>
      <c r="O100" s="222"/>
      <c r="P100" s="222"/>
      <c r="Q100" s="113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3"/>
      <c r="AK100" s="222"/>
      <c r="AL100" s="223"/>
      <c r="AM100" s="222"/>
      <c r="AN100" s="113"/>
      <c r="AO100" s="222"/>
      <c r="AP100" s="222"/>
      <c r="AQ100" s="113"/>
      <c r="AR100" s="222"/>
      <c r="AS100" s="222"/>
      <c r="AT100" s="222"/>
      <c r="AU100" s="113"/>
      <c r="AV100" s="222"/>
      <c r="AW100" s="113"/>
      <c r="AX100" s="135"/>
      <c r="AY100" s="222"/>
      <c r="AZ100" s="102"/>
    </row>
    <row r="101" spans="1:52" x14ac:dyDescent="0.2">
      <c r="A101" s="103"/>
      <c r="B101" s="104"/>
      <c r="C101" s="105"/>
      <c r="D101" s="106"/>
      <c r="E101" s="107"/>
      <c r="F101" s="106"/>
      <c r="G101" s="107"/>
      <c r="H101" s="106"/>
      <c r="I101" s="107"/>
      <c r="J101" s="107"/>
      <c r="K101" s="107"/>
      <c r="L101" s="107"/>
      <c r="M101" s="107"/>
      <c r="N101" s="107"/>
      <c r="O101" s="107"/>
      <c r="P101" s="107"/>
      <c r="Q101" s="106"/>
      <c r="R101" s="107"/>
      <c r="S101" s="107"/>
      <c r="T101" s="107"/>
      <c r="U101" s="106"/>
      <c r="V101" s="107"/>
      <c r="W101" s="106"/>
      <c r="X101" s="107"/>
      <c r="Y101" s="104"/>
      <c r="Z101" s="104"/>
      <c r="AA101" s="104"/>
      <c r="AB101" s="104"/>
      <c r="AC101" s="104"/>
      <c r="AD101" s="104"/>
      <c r="AE101" s="106"/>
      <c r="AF101" s="107"/>
      <c r="AG101" s="107"/>
      <c r="AH101" s="107"/>
      <c r="AI101" s="107"/>
      <c r="AJ101" s="106"/>
      <c r="AK101" s="107"/>
      <c r="AL101" s="106"/>
      <c r="AM101" s="107"/>
      <c r="AN101" s="106"/>
      <c r="AO101" s="107"/>
      <c r="AP101" s="107"/>
      <c r="AQ101" s="106"/>
      <c r="AR101" s="107"/>
      <c r="AS101" s="107"/>
      <c r="AT101" s="107"/>
      <c r="AU101" s="106"/>
      <c r="AV101" s="107"/>
      <c r="AW101" s="106"/>
      <c r="AX101" s="107"/>
      <c r="AY101" s="107"/>
      <c r="AZ101" s="108"/>
    </row>
    <row r="102" spans="1:52" x14ac:dyDescent="0.2">
      <c r="A102" s="4"/>
      <c r="B102" s="4"/>
      <c r="C102" s="141"/>
      <c r="D102" s="142"/>
      <c r="E102" s="143"/>
      <c r="F102" s="142"/>
      <c r="G102" s="143"/>
      <c r="H102" s="142"/>
      <c r="I102" s="143"/>
      <c r="J102" s="143"/>
      <c r="K102" s="143"/>
      <c r="L102" s="143"/>
      <c r="M102" s="143"/>
      <c r="N102" s="143"/>
      <c r="O102" s="143"/>
      <c r="P102" s="143"/>
      <c r="Q102" s="142"/>
      <c r="R102" s="144"/>
      <c r="S102" s="143"/>
      <c r="T102" s="143"/>
      <c r="U102" s="142"/>
      <c r="V102" s="144"/>
      <c r="W102" s="142"/>
      <c r="X102" s="144"/>
      <c r="Y102" s="145"/>
      <c r="Z102" s="145"/>
      <c r="AA102" s="145"/>
      <c r="AB102" s="145"/>
      <c r="AC102" s="145"/>
      <c r="AD102" s="145"/>
      <c r="AE102" s="142"/>
      <c r="AF102" s="142"/>
      <c r="AG102" s="142"/>
      <c r="AH102" s="142"/>
      <c r="AI102" s="142"/>
      <c r="AJ102" s="142"/>
      <c r="AK102" s="146"/>
      <c r="AL102" s="142"/>
      <c r="AM102" s="146"/>
      <c r="AN102" s="143"/>
      <c r="AO102" s="143"/>
      <c r="AP102" s="142"/>
      <c r="AQ102" s="142"/>
      <c r="AR102" s="146"/>
      <c r="AS102" s="142"/>
      <c r="AT102" s="142"/>
      <c r="AU102" s="142"/>
      <c r="AV102" s="146"/>
      <c r="AW102" s="142"/>
      <c r="AX102" s="144"/>
      <c r="AY102" s="143"/>
      <c r="AZ102" s="143"/>
    </row>
    <row r="103" spans="1:52" x14ac:dyDescent="0.2">
      <c r="A103" s="4"/>
      <c r="B103" s="4"/>
      <c r="C103" s="141"/>
      <c r="D103" s="142"/>
      <c r="E103" s="143"/>
      <c r="F103" s="142"/>
      <c r="G103" s="143"/>
      <c r="H103" s="142"/>
      <c r="I103" s="143"/>
      <c r="J103" s="143"/>
      <c r="K103" s="143"/>
      <c r="L103" s="143"/>
      <c r="M103" s="143"/>
      <c r="N103" s="143"/>
      <c r="O103" s="143"/>
      <c r="P103" s="143"/>
      <c r="Q103" s="142"/>
      <c r="R103" s="144"/>
      <c r="S103" s="143"/>
      <c r="T103" s="143"/>
      <c r="U103" s="142"/>
      <c r="V103" s="144"/>
      <c r="W103" s="142"/>
      <c r="X103" s="144"/>
      <c r="Y103" s="145"/>
      <c r="Z103" s="145"/>
      <c r="AA103" s="145"/>
      <c r="AB103" s="145"/>
      <c r="AC103" s="145"/>
      <c r="AD103" s="145"/>
      <c r="AE103" s="142"/>
      <c r="AF103" s="142"/>
      <c r="AG103" s="142"/>
      <c r="AH103" s="142"/>
      <c r="AI103" s="142"/>
      <c r="AJ103" s="142"/>
      <c r="AK103" s="146"/>
      <c r="AL103" s="142"/>
      <c r="AM103" s="146"/>
      <c r="AN103" s="143"/>
      <c r="AO103" s="143"/>
      <c r="AP103" s="142"/>
      <c r="AQ103" s="142"/>
      <c r="AR103" s="146"/>
      <c r="AS103" s="142"/>
      <c r="AT103" s="142"/>
      <c r="AU103" s="142"/>
      <c r="AV103" s="146"/>
      <c r="AW103" s="142"/>
      <c r="AX103" s="144"/>
      <c r="AY103" s="143"/>
      <c r="AZ103" s="143"/>
    </row>
    <row r="104" spans="1:52" x14ac:dyDescent="0.2">
      <c r="A104" s="4"/>
      <c r="B104" s="4"/>
      <c r="C104" s="141"/>
      <c r="D104" s="142"/>
      <c r="E104" s="143"/>
      <c r="F104" s="142"/>
      <c r="G104" s="143"/>
      <c r="H104" s="142"/>
      <c r="I104" s="143"/>
      <c r="J104" s="143"/>
      <c r="K104" s="143"/>
      <c r="L104" s="143"/>
      <c r="M104" s="143"/>
      <c r="N104" s="143"/>
      <c r="O104" s="143"/>
      <c r="P104" s="143"/>
      <c r="Q104" s="142"/>
      <c r="R104" s="144"/>
      <c r="S104" s="143"/>
      <c r="T104" s="143"/>
      <c r="U104" s="142"/>
      <c r="V104" s="144"/>
      <c r="W104" s="142"/>
      <c r="X104" s="144"/>
      <c r="Y104" s="145"/>
      <c r="Z104" s="145"/>
      <c r="AA104" s="145"/>
      <c r="AB104" s="145"/>
      <c r="AC104" s="145"/>
      <c r="AD104" s="145"/>
      <c r="AE104" s="142"/>
      <c r="AF104" s="142"/>
      <c r="AG104" s="142"/>
      <c r="AH104" s="142"/>
      <c r="AI104" s="142"/>
      <c r="AJ104" s="142"/>
      <c r="AK104" s="146"/>
      <c r="AL104" s="142"/>
      <c r="AM104" s="146"/>
      <c r="AN104" s="143"/>
      <c r="AO104" s="143"/>
      <c r="AP104" s="142"/>
      <c r="AQ104" s="142"/>
      <c r="AR104" s="146"/>
      <c r="AS104" s="142"/>
      <c r="AT104" s="142"/>
      <c r="AU104" s="142"/>
      <c r="AV104" s="146"/>
      <c r="AW104" s="142"/>
      <c r="AX104" s="144"/>
      <c r="AY104" s="143"/>
      <c r="AZ104" s="143"/>
    </row>
    <row r="105" spans="1:52" x14ac:dyDescent="0.2">
      <c r="A105" s="4"/>
      <c r="B105" s="4"/>
      <c r="C105" s="141"/>
      <c r="D105" s="142"/>
      <c r="E105" s="143"/>
      <c r="F105" s="142"/>
      <c r="G105" s="143"/>
      <c r="H105" s="142"/>
      <c r="I105" s="143"/>
      <c r="J105" s="143"/>
      <c r="K105" s="143"/>
      <c r="L105" s="143"/>
      <c r="M105" s="143"/>
      <c r="N105" s="143"/>
      <c r="O105" s="143"/>
      <c r="P105" s="143"/>
      <c r="Q105" s="142"/>
      <c r="R105" s="144"/>
      <c r="S105" s="143"/>
      <c r="T105" s="143"/>
      <c r="U105" s="142"/>
      <c r="V105" s="144"/>
      <c r="W105" s="142"/>
      <c r="X105" s="144"/>
      <c r="Y105" s="145"/>
      <c r="Z105" s="145"/>
      <c r="AA105" s="145"/>
      <c r="AB105" s="145"/>
      <c r="AC105" s="145"/>
      <c r="AD105" s="145"/>
      <c r="AE105" s="142"/>
      <c r="AF105" s="142"/>
      <c r="AG105" s="142"/>
      <c r="AH105" s="142"/>
      <c r="AI105" s="142"/>
      <c r="AJ105" s="142"/>
      <c r="AK105" s="146"/>
      <c r="AL105" s="142"/>
      <c r="AM105" s="146"/>
      <c r="AN105" s="143"/>
      <c r="AO105" s="143"/>
      <c r="AP105" s="142"/>
      <c r="AQ105" s="142"/>
      <c r="AR105" s="146"/>
      <c r="AS105" s="142"/>
      <c r="AT105" s="142"/>
      <c r="AU105" s="142"/>
      <c r="AV105" s="146"/>
      <c r="AW105" s="142"/>
      <c r="AX105" s="144"/>
      <c r="AY105" s="143"/>
      <c r="AZ105" s="143"/>
    </row>
  </sheetData>
  <sheetProtection algorithmName="SHA-512" hashValue="1xvzNkWHHPcPmIz9o6WwdTP/w9xMjBYK/3qk30lhPSgWtG938iQgDNEZuZ7LaKBraMsOshRXYJ+Ps7zlKMOSQA==" saltValue="lWEp3qLydmUP35hTQGwvUQ==" spinCount="100000" sheet="1" formatCells="0" formatColumns="0" formatRows="0"/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4" orientation="landscape" r:id="rId1"/>
  <headerFooter alignWithMargins="0">
    <oddFooter>Page &amp;P of &amp;N</oddFooter>
  </headerFooter>
  <rowBreaks count="1" manualBreakCount="1">
    <brk id="66" max="51" man="1"/>
  </rowBreaks>
  <colBreaks count="3" manualBreakCount="3">
    <brk id="16" max="65" man="1"/>
    <brk id="30" max="65" man="1"/>
    <brk id="42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I17" sqref="I17"/>
    </sheetView>
  </sheetViews>
  <sheetFormatPr defaultColWidth="11.42578125" defaultRowHeight="15" x14ac:dyDescent="0.25"/>
  <cols>
    <col min="1" max="1" width="33.28515625" style="190" customWidth="1"/>
    <col min="2" max="2" width="5.5703125" style="197" bestFit="1" customWidth="1"/>
    <col min="3" max="3" width="8.42578125" style="198" bestFit="1" customWidth="1"/>
    <col min="4" max="4" width="9.7109375" style="198" bestFit="1" customWidth="1"/>
    <col min="5" max="5" width="9.42578125" style="198" bestFit="1" customWidth="1"/>
    <col min="6" max="6" width="12.42578125" style="198" customWidth="1"/>
    <col min="7" max="7" width="9.28515625" style="198" customWidth="1"/>
    <col min="8" max="8" width="12.28515625" style="198" customWidth="1"/>
    <col min="9" max="9" width="8.140625" style="198" bestFit="1" customWidth="1"/>
    <col min="10" max="10" width="9.5703125" style="187" customWidth="1"/>
    <col min="11" max="12" width="11.42578125" style="170"/>
    <col min="13" max="13" width="14.85546875" style="188" bestFit="1" customWidth="1"/>
    <col min="14" max="14" width="9.85546875" style="188" bestFit="1" customWidth="1"/>
    <col min="15" max="16" width="9.28515625" style="188" bestFit="1" customWidth="1"/>
    <col min="17" max="19" width="10.7109375" style="188" bestFit="1" customWidth="1"/>
    <col min="20" max="16384" width="11.42578125" style="192"/>
  </cols>
  <sheetData>
    <row r="1" spans="1:19" s="190" customFormat="1" ht="45" x14ac:dyDescent="0.25">
      <c r="A1" s="225" t="s">
        <v>144</v>
      </c>
      <c r="B1" s="226"/>
      <c r="C1" s="227" t="s">
        <v>58</v>
      </c>
      <c r="D1" s="226">
        <v>3604</v>
      </c>
      <c r="E1" s="226">
        <v>4076</v>
      </c>
      <c r="F1" s="226">
        <v>3620</v>
      </c>
      <c r="G1" s="227" t="s">
        <v>59</v>
      </c>
      <c r="H1" s="226">
        <v>4561</v>
      </c>
      <c r="I1" s="226" t="s">
        <v>60</v>
      </c>
      <c r="J1" s="228" t="s">
        <v>61</v>
      </c>
      <c r="K1" s="229" t="s">
        <v>62</v>
      </c>
      <c r="L1" s="229" t="s">
        <v>63</v>
      </c>
      <c r="M1" s="228" t="s">
        <v>64</v>
      </c>
      <c r="N1" s="228" t="s">
        <v>65</v>
      </c>
      <c r="O1" s="228" t="s">
        <v>66</v>
      </c>
      <c r="P1" s="228" t="s">
        <v>67</v>
      </c>
      <c r="Q1" s="228" t="s">
        <v>68</v>
      </c>
      <c r="R1" s="228" t="s">
        <v>69</v>
      </c>
      <c r="S1" s="228" t="s">
        <v>136</v>
      </c>
    </row>
    <row r="2" spans="1:19" s="191" customFormat="1" ht="30" x14ac:dyDescent="0.25">
      <c r="A2" s="230" t="s">
        <v>145</v>
      </c>
      <c r="B2" s="231"/>
      <c r="C2" s="232">
        <v>14</v>
      </c>
      <c r="D2" s="231">
        <v>77</v>
      </c>
      <c r="E2" s="231">
        <v>19.100000000000001</v>
      </c>
      <c r="F2" s="231">
        <v>50</v>
      </c>
      <c r="G2" s="232">
        <v>7.5</v>
      </c>
      <c r="H2" s="231" t="s">
        <v>146</v>
      </c>
      <c r="I2" s="231"/>
      <c r="J2" s="233"/>
      <c r="K2" s="228"/>
      <c r="L2" s="228"/>
      <c r="M2" s="228"/>
      <c r="N2" s="228"/>
      <c r="O2" s="228"/>
      <c r="P2" s="228"/>
      <c r="Q2" s="228"/>
      <c r="R2" s="228"/>
      <c r="S2" s="228"/>
    </row>
    <row r="3" spans="1:19" s="190" customFormat="1" x14ac:dyDescent="0.25">
      <c r="A3" s="225"/>
      <c r="B3" s="226"/>
      <c r="C3" s="227" t="s">
        <v>70</v>
      </c>
      <c r="D3" s="226" t="s">
        <v>71</v>
      </c>
      <c r="E3" s="226" t="s">
        <v>72</v>
      </c>
      <c r="F3" s="226" t="s">
        <v>73</v>
      </c>
      <c r="G3" s="227"/>
      <c r="H3" s="226" t="s">
        <v>74</v>
      </c>
      <c r="I3" s="226"/>
      <c r="J3" s="234"/>
      <c r="K3" s="229"/>
      <c r="L3" s="229"/>
      <c r="M3" s="228"/>
      <c r="N3" s="228"/>
      <c r="O3" s="228"/>
      <c r="P3" s="228"/>
      <c r="Q3" s="228"/>
      <c r="R3" s="228"/>
      <c r="S3" s="228"/>
    </row>
    <row r="4" spans="1:19" x14ac:dyDescent="0.25">
      <c r="A4" s="158" t="s">
        <v>75</v>
      </c>
      <c r="B4" s="159">
        <v>2020</v>
      </c>
      <c r="C4" s="160">
        <v>14.670999999999999</v>
      </c>
      <c r="D4" s="160">
        <v>20.783999999999999</v>
      </c>
      <c r="E4" s="160">
        <v>16.96</v>
      </c>
      <c r="F4" s="160">
        <v>13.984</v>
      </c>
      <c r="G4" s="160">
        <v>0</v>
      </c>
      <c r="H4" s="160">
        <v>15.557</v>
      </c>
      <c r="I4" s="160"/>
      <c r="J4" s="161"/>
      <c r="K4" s="160"/>
      <c r="L4" s="160"/>
      <c r="M4" s="162"/>
      <c r="N4" s="162"/>
      <c r="O4" s="162"/>
      <c r="P4" s="162"/>
      <c r="Q4" s="162"/>
      <c r="R4" s="162"/>
      <c r="S4" s="162"/>
    </row>
    <row r="5" spans="1:19" x14ac:dyDescent="0.25">
      <c r="A5" s="193" t="s">
        <v>75</v>
      </c>
      <c r="B5" s="194">
        <v>2021</v>
      </c>
      <c r="C5" s="163">
        <v>15.154999999999999</v>
      </c>
      <c r="D5" s="163">
        <v>21.47</v>
      </c>
      <c r="E5" s="163">
        <v>17.52</v>
      </c>
      <c r="F5" s="163">
        <v>14.445</v>
      </c>
      <c r="G5" s="163"/>
      <c r="H5" s="163">
        <v>20.202000000000002</v>
      </c>
      <c r="I5" s="163"/>
      <c r="J5" s="164"/>
      <c r="K5" s="163"/>
      <c r="L5" s="163"/>
      <c r="M5" s="165"/>
      <c r="N5" s="165"/>
      <c r="O5" s="165"/>
      <c r="P5" s="165"/>
      <c r="Q5" s="165"/>
      <c r="R5" s="165"/>
      <c r="S5" s="165"/>
    </row>
    <row r="6" spans="1:19" x14ac:dyDescent="0.25">
      <c r="A6" s="158" t="s">
        <v>137</v>
      </c>
      <c r="B6" s="159">
        <v>2020</v>
      </c>
      <c r="C6" s="160">
        <v>14.42</v>
      </c>
      <c r="D6" s="160">
        <v>20.51</v>
      </c>
      <c r="E6" s="160">
        <v>16.61</v>
      </c>
      <c r="F6" s="160">
        <v>13.8</v>
      </c>
      <c r="G6" s="160">
        <v>23.48</v>
      </c>
      <c r="H6" s="160">
        <v>19.329999999999998</v>
      </c>
      <c r="I6" s="160"/>
      <c r="J6" s="161"/>
      <c r="K6" s="160"/>
      <c r="L6" s="160"/>
      <c r="M6" s="162"/>
      <c r="N6" s="162"/>
      <c r="O6" s="162"/>
      <c r="P6" s="162"/>
      <c r="Q6" s="162"/>
      <c r="R6" s="162"/>
      <c r="S6" s="162"/>
    </row>
    <row r="7" spans="1:19" x14ac:dyDescent="0.25">
      <c r="A7" s="193" t="s">
        <v>137</v>
      </c>
      <c r="B7" s="194">
        <v>2021</v>
      </c>
      <c r="C7" s="163">
        <v>14.91</v>
      </c>
      <c r="D7" s="163">
        <v>21.2</v>
      </c>
      <c r="E7" s="163">
        <v>17.170000000000002</v>
      </c>
      <c r="F7" s="163">
        <v>14.26</v>
      </c>
      <c r="G7" s="163">
        <v>24.27</v>
      </c>
      <c r="H7" s="163">
        <v>19.98</v>
      </c>
      <c r="I7" s="163"/>
      <c r="J7" s="164"/>
      <c r="K7" s="163"/>
      <c r="L7" s="163"/>
      <c r="M7" s="165"/>
      <c r="N7" s="165"/>
      <c r="O7" s="165"/>
      <c r="P7" s="165"/>
      <c r="Q7" s="165"/>
      <c r="R7" s="165"/>
      <c r="S7" s="165"/>
    </row>
    <row r="8" spans="1:19" x14ac:dyDescent="0.25">
      <c r="A8" s="158" t="s">
        <v>77</v>
      </c>
      <c r="B8" s="159">
        <v>2020</v>
      </c>
      <c r="C8" s="160">
        <v>14.218</v>
      </c>
      <c r="D8" s="160">
        <v>20.12</v>
      </c>
      <c r="E8" s="160">
        <v>15.930999999999999</v>
      </c>
      <c r="F8" s="160">
        <v>13.554</v>
      </c>
      <c r="G8" s="160">
        <v>0</v>
      </c>
      <c r="H8" s="160">
        <v>18.425000000000001</v>
      </c>
      <c r="I8" s="160"/>
      <c r="J8" s="161"/>
      <c r="K8" s="160"/>
      <c r="L8" s="160"/>
      <c r="M8" s="162"/>
      <c r="N8" s="162"/>
      <c r="O8" s="162"/>
      <c r="P8" s="162"/>
      <c r="Q8" s="162"/>
      <c r="R8" s="162"/>
      <c r="S8" s="162"/>
    </row>
    <row r="9" spans="1:19" x14ac:dyDescent="0.25">
      <c r="A9" s="193" t="s">
        <v>77</v>
      </c>
      <c r="B9" s="194">
        <v>2021</v>
      </c>
      <c r="C9" s="163">
        <v>14.686999999999999</v>
      </c>
      <c r="D9" s="163">
        <v>20.806999999999999</v>
      </c>
      <c r="E9" s="163">
        <v>13.471</v>
      </c>
      <c r="F9" s="163">
        <v>14.000999999999999</v>
      </c>
      <c r="G9" s="163">
        <v>0</v>
      </c>
      <c r="H9" s="163">
        <v>19.033000000000001</v>
      </c>
      <c r="I9" s="163"/>
      <c r="J9" s="164"/>
      <c r="K9" s="163"/>
      <c r="L9" s="163"/>
      <c r="M9" s="163"/>
      <c r="N9" s="163"/>
      <c r="O9" s="163"/>
      <c r="P9" s="163"/>
      <c r="Q9" s="165"/>
      <c r="R9" s="165"/>
      <c r="S9" s="165"/>
    </row>
    <row r="10" spans="1:19" x14ac:dyDescent="0.25">
      <c r="A10" s="158" t="s">
        <v>78</v>
      </c>
      <c r="B10" s="159">
        <v>2020</v>
      </c>
      <c r="C10" s="160">
        <v>14.691000000000001</v>
      </c>
      <c r="D10" s="160">
        <v>20.428000000000001</v>
      </c>
      <c r="E10" s="160">
        <v>16.204000000000001</v>
      </c>
      <c r="F10" s="160">
        <v>13.749000000000001</v>
      </c>
      <c r="G10" s="160">
        <v>0</v>
      </c>
      <c r="H10" s="160">
        <v>18.687999999999999</v>
      </c>
      <c r="I10" s="160"/>
      <c r="J10" s="161"/>
      <c r="K10" s="160"/>
      <c r="L10" s="160"/>
      <c r="M10" s="162"/>
      <c r="N10" s="162"/>
      <c r="O10" s="162"/>
      <c r="P10" s="162"/>
      <c r="Q10" s="162"/>
      <c r="R10" s="162"/>
      <c r="S10" s="162"/>
    </row>
    <row r="11" spans="1:19" x14ac:dyDescent="0.25">
      <c r="A11" s="193" t="s">
        <v>78</v>
      </c>
      <c r="B11" s="194">
        <v>2021</v>
      </c>
      <c r="C11" s="163">
        <v>14.896000000000001</v>
      </c>
      <c r="D11" s="163">
        <v>21.102</v>
      </c>
      <c r="E11" s="163">
        <v>16.739000000000001</v>
      </c>
      <c r="F11" s="163">
        <v>14.202999999999999</v>
      </c>
      <c r="G11" s="163">
        <v>0</v>
      </c>
      <c r="H11" s="163">
        <v>19.305</v>
      </c>
      <c r="I11" s="163"/>
      <c r="J11" s="164"/>
      <c r="K11" s="163"/>
      <c r="L11" s="163"/>
      <c r="M11" s="165"/>
      <c r="N11" s="165"/>
      <c r="O11" s="165"/>
      <c r="P11" s="165"/>
      <c r="Q11" s="165"/>
      <c r="R11" s="165"/>
      <c r="S11" s="165"/>
    </row>
    <row r="12" spans="1:19" x14ac:dyDescent="0.25">
      <c r="A12" s="158" t="s">
        <v>79</v>
      </c>
      <c r="B12" s="159">
        <v>2020</v>
      </c>
      <c r="C12" s="160">
        <v>14.45</v>
      </c>
      <c r="D12" s="160">
        <v>20.48</v>
      </c>
      <c r="E12" s="160">
        <v>16.59</v>
      </c>
      <c r="F12" s="160">
        <v>13.8</v>
      </c>
      <c r="G12" s="160">
        <v>23.453333333333333</v>
      </c>
      <c r="H12" s="160">
        <v>19.309999999999999</v>
      </c>
      <c r="I12" s="160"/>
      <c r="J12" s="161"/>
      <c r="K12" s="160"/>
      <c r="L12" s="160"/>
      <c r="M12" s="162"/>
      <c r="N12" s="162"/>
      <c r="O12" s="162"/>
      <c r="P12" s="162"/>
      <c r="Q12" s="162"/>
      <c r="R12" s="162"/>
      <c r="S12" s="162"/>
    </row>
    <row r="13" spans="1:19" x14ac:dyDescent="0.25">
      <c r="A13" s="193" t="s">
        <v>79</v>
      </c>
      <c r="B13" s="194">
        <v>2021</v>
      </c>
      <c r="C13" s="163">
        <v>14.94</v>
      </c>
      <c r="D13" s="163">
        <v>21.17</v>
      </c>
      <c r="E13" s="163">
        <v>17.149999999999999</v>
      </c>
      <c r="F13" s="163">
        <v>14.26</v>
      </c>
      <c r="G13" s="163">
        <v>24.25</v>
      </c>
      <c r="H13" s="163">
        <v>19.96</v>
      </c>
      <c r="I13" s="163"/>
      <c r="J13" s="164"/>
      <c r="K13" s="163"/>
      <c r="L13" s="163"/>
      <c r="M13" s="165"/>
      <c r="N13" s="165"/>
      <c r="O13" s="165"/>
      <c r="P13" s="165"/>
      <c r="Q13" s="165"/>
      <c r="R13" s="165"/>
      <c r="S13" s="165"/>
    </row>
    <row r="14" spans="1:19" x14ac:dyDescent="0.25">
      <c r="A14" s="158" t="s">
        <v>80</v>
      </c>
      <c r="B14" s="159">
        <v>2020</v>
      </c>
      <c r="C14" s="160">
        <v>13.799999999999999</v>
      </c>
      <c r="D14" s="160">
        <v>19.542857142857141</v>
      </c>
      <c r="E14" s="160">
        <v>10.6282722513089</v>
      </c>
      <c r="F14" s="160">
        <v>13.145999999999999</v>
      </c>
      <c r="G14" s="160">
        <v>22.293333333333333</v>
      </c>
      <c r="H14" s="160">
        <v>18.404494382022474</v>
      </c>
      <c r="I14" s="160"/>
      <c r="J14" s="161"/>
      <c r="K14" s="160"/>
      <c r="L14" s="160"/>
      <c r="M14" s="162"/>
      <c r="N14" s="162"/>
      <c r="O14" s="162"/>
      <c r="P14" s="162"/>
      <c r="Q14" s="162"/>
      <c r="R14" s="162"/>
      <c r="S14" s="162"/>
    </row>
    <row r="15" spans="1:19" x14ac:dyDescent="0.25">
      <c r="A15" s="158" t="s">
        <v>81</v>
      </c>
      <c r="B15" s="159">
        <v>2020</v>
      </c>
      <c r="C15" s="160">
        <v>14.164285714285715</v>
      </c>
      <c r="D15" s="160">
        <v>20.09090909090909</v>
      </c>
      <c r="E15" s="160">
        <v>16.387434554973822</v>
      </c>
      <c r="F15" s="160">
        <v>13.517999999999999</v>
      </c>
      <c r="G15" s="160">
        <v>22.90666666666667</v>
      </c>
      <c r="H15" s="160">
        <v>18.910447761194028</v>
      </c>
      <c r="I15" s="160"/>
      <c r="J15" s="161"/>
      <c r="K15" s="160"/>
      <c r="L15" s="160"/>
      <c r="M15" s="162"/>
      <c r="N15" s="162"/>
      <c r="O15" s="162"/>
      <c r="P15" s="162"/>
      <c r="Q15" s="162"/>
      <c r="R15" s="162"/>
      <c r="S15" s="162"/>
    </row>
    <row r="16" spans="1:19" x14ac:dyDescent="0.25">
      <c r="A16" s="158" t="s">
        <v>82</v>
      </c>
      <c r="B16" s="159">
        <v>2020</v>
      </c>
      <c r="C16" s="160">
        <v>14.164285714285715</v>
      </c>
      <c r="D16" s="160">
        <v>20.09090909090909</v>
      </c>
      <c r="E16" s="160">
        <v>16.387434554973822</v>
      </c>
      <c r="F16" s="160">
        <v>13.517999999999999</v>
      </c>
      <c r="G16" s="160">
        <v>22.90666666666667</v>
      </c>
      <c r="H16" s="160">
        <v>18.910447761194028</v>
      </c>
      <c r="I16" s="160"/>
      <c r="J16" s="161"/>
      <c r="K16" s="160"/>
      <c r="L16" s="160"/>
      <c r="M16" s="162"/>
      <c r="N16" s="162"/>
      <c r="O16" s="162"/>
      <c r="P16" s="162"/>
      <c r="Q16" s="162"/>
      <c r="R16" s="162"/>
      <c r="S16" s="162"/>
    </row>
    <row r="17" spans="1:19" ht="90" x14ac:dyDescent="0.25">
      <c r="A17" s="166" t="s">
        <v>147</v>
      </c>
      <c r="B17" s="159">
        <v>2020</v>
      </c>
      <c r="C17" s="160">
        <v>14.700000000000001</v>
      </c>
      <c r="D17" s="160">
        <v>20.82987012987013</v>
      </c>
      <c r="E17" s="160">
        <v>16.994764397905758</v>
      </c>
      <c r="F17" s="160">
        <v>18.224</v>
      </c>
      <c r="G17" s="160">
        <v>23.786666666666669</v>
      </c>
      <c r="H17" s="160">
        <v>19.604477611940297</v>
      </c>
      <c r="I17" s="160"/>
      <c r="J17" s="161"/>
      <c r="K17" s="160">
        <v>0</v>
      </c>
      <c r="L17" s="160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</row>
    <row r="18" spans="1:19" x14ac:dyDescent="0.25">
      <c r="A18" s="158" t="s">
        <v>83</v>
      </c>
      <c r="B18" s="159">
        <v>2020</v>
      </c>
      <c r="C18" s="160">
        <v>14.950000000000001</v>
      </c>
      <c r="D18" s="160">
        <v>21.184415584415586</v>
      </c>
      <c r="E18" s="160">
        <v>11.528795811518323</v>
      </c>
      <c r="F18" s="160">
        <v>14.257999999999999</v>
      </c>
      <c r="G18" s="160">
        <v>24.16</v>
      </c>
      <c r="H18" s="160">
        <v>19.966292134831459</v>
      </c>
      <c r="I18" s="160"/>
      <c r="J18" s="161"/>
      <c r="K18" s="160"/>
      <c r="L18" s="160"/>
      <c r="M18" s="162"/>
      <c r="N18" s="162"/>
      <c r="O18" s="162"/>
      <c r="P18" s="162"/>
      <c r="Q18" s="162"/>
      <c r="R18" s="162"/>
      <c r="S18" s="162"/>
    </row>
    <row r="19" spans="1:19" x14ac:dyDescent="0.25">
      <c r="A19" s="158" t="s">
        <v>84</v>
      </c>
      <c r="B19" s="159">
        <v>2020</v>
      </c>
      <c r="C19" s="160">
        <v>19.107142857142858</v>
      </c>
      <c r="D19" s="160">
        <v>27.077922077922079</v>
      </c>
      <c r="E19" s="160">
        <v>22.094240837696333</v>
      </c>
      <c r="F19" s="160">
        <v>18.22</v>
      </c>
      <c r="G19" s="160">
        <v>30.92</v>
      </c>
      <c r="H19" s="160">
        <v>25.485074626865671</v>
      </c>
      <c r="I19" s="160"/>
      <c r="J19" s="161"/>
      <c r="K19" s="160"/>
      <c r="L19" s="160"/>
      <c r="M19" s="162"/>
      <c r="N19" s="162"/>
      <c r="O19" s="162"/>
      <c r="P19" s="162"/>
      <c r="Q19" s="162"/>
      <c r="R19" s="162"/>
      <c r="S19" s="162"/>
    </row>
    <row r="20" spans="1:19" x14ac:dyDescent="0.25">
      <c r="A20" s="158" t="s">
        <v>85</v>
      </c>
      <c r="B20" s="159">
        <v>2020</v>
      </c>
      <c r="C20" s="160">
        <v>19.107142857142858</v>
      </c>
      <c r="D20" s="160">
        <v>27.077922077922079</v>
      </c>
      <c r="E20" s="160">
        <v>22.094240837696333</v>
      </c>
      <c r="F20" s="160">
        <v>18.22</v>
      </c>
      <c r="G20" s="160">
        <v>30.92</v>
      </c>
      <c r="H20" s="160">
        <v>25.485074626865671</v>
      </c>
      <c r="I20" s="160"/>
      <c r="J20" s="161"/>
      <c r="K20" s="160"/>
      <c r="L20" s="160"/>
      <c r="M20" s="162"/>
      <c r="N20" s="162"/>
      <c r="O20" s="162"/>
      <c r="P20" s="162"/>
      <c r="Q20" s="162"/>
      <c r="R20" s="162"/>
      <c r="S20" s="162"/>
    </row>
    <row r="21" spans="1:19" ht="105" x14ac:dyDescent="0.25">
      <c r="A21" s="166" t="s">
        <v>86</v>
      </c>
      <c r="B21" s="159">
        <v>2020</v>
      </c>
      <c r="C21" s="160">
        <v>19.107142857142858</v>
      </c>
      <c r="D21" s="160">
        <v>27.077922077922079</v>
      </c>
      <c r="E21" s="160">
        <v>16.994764397905758</v>
      </c>
      <c r="F21" s="160">
        <v>18.22</v>
      </c>
      <c r="G21" s="160">
        <v>30.92</v>
      </c>
      <c r="H21" s="160">
        <v>19.604477611940297</v>
      </c>
      <c r="I21" s="160"/>
      <c r="J21" s="161"/>
      <c r="K21" s="160"/>
      <c r="L21" s="160"/>
      <c r="M21" s="162"/>
      <c r="N21" s="162"/>
      <c r="O21" s="162"/>
      <c r="P21" s="162"/>
      <c r="Q21" s="162"/>
      <c r="R21" s="162"/>
      <c r="S21" s="162"/>
    </row>
    <row r="22" spans="1:19" x14ac:dyDescent="0.25">
      <c r="A22" s="193" t="s">
        <v>80</v>
      </c>
      <c r="B22" s="194">
        <v>2021</v>
      </c>
      <c r="C22" s="163">
        <f>199/14</f>
        <v>14.214285714285714</v>
      </c>
      <c r="D22" s="163">
        <f>1549.9/77</f>
        <v>20.12857142857143</v>
      </c>
      <c r="E22" s="163">
        <f>209.1/19.1</f>
        <v>10.94764397905759</v>
      </c>
      <c r="F22" s="163">
        <f>677/50</f>
        <v>13.54</v>
      </c>
      <c r="G22" s="163">
        <f>172.2/7.5</f>
        <v>22.959999999999997</v>
      </c>
      <c r="H22" s="163">
        <f>168.7/8.9</f>
        <v>18.95505617977528</v>
      </c>
      <c r="I22" s="163"/>
      <c r="J22" s="164"/>
      <c r="K22" s="163"/>
      <c r="L22" s="163"/>
      <c r="M22" s="165"/>
      <c r="N22" s="165"/>
      <c r="O22" s="165"/>
      <c r="P22" s="165"/>
      <c r="Q22" s="165"/>
      <c r="R22" s="165"/>
      <c r="S22" s="165"/>
    </row>
    <row r="23" spans="1:19" x14ac:dyDescent="0.25">
      <c r="A23" s="193" t="s">
        <v>81</v>
      </c>
      <c r="B23" s="194">
        <v>2021</v>
      </c>
      <c r="C23" s="163">
        <f>204.2/14</f>
        <v>14.585714285714285</v>
      </c>
      <c r="D23" s="163">
        <f>1593.4/77</f>
        <v>20.693506493506494</v>
      </c>
      <c r="E23" s="163">
        <f>209.1/19.1</f>
        <v>10.94764397905759</v>
      </c>
      <c r="F23" s="163">
        <f>696.2/50</f>
        <v>13.924000000000001</v>
      </c>
      <c r="G23" s="163">
        <f>177/7.5</f>
        <v>23.6</v>
      </c>
      <c r="H23" s="163">
        <f>261/13.4</f>
        <v>19.477611940298505</v>
      </c>
      <c r="I23" s="163"/>
      <c r="J23" s="164"/>
      <c r="K23" s="163"/>
      <c r="L23" s="163"/>
      <c r="M23" s="165"/>
      <c r="N23" s="165"/>
      <c r="O23" s="165"/>
      <c r="P23" s="165"/>
      <c r="Q23" s="165"/>
      <c r="R23" s="165"/>
      <c r="S23" s="165"/>
    </row>
    <row r="24" spans="1:19" x14ac:dyDescent="0.25">
      <c r="A24" s="193" t="s">
        <v>82</v>
      </c>
      <c r="B24" s="194">
        <v>2021</v>
      </c>
      <c r="C24" s="235">
        <f t="shared" ref="C24:H24" si="0">C23</f>
        <v>14.585714285714285</v>
      </c>
      <c r="D24" s="235">
        <f t="shared" si="0"/>
        <v>20.693506493506494</v>
      </c>
      <c r="E24" s="235">
        <f t="shared" si="0"/>
        <v>10.94764397905759</v>
      </c>
      <c r="F24" s="235">
        <f t="shared" si="0"/>
        <v>13.924000000000001</v>
      </c>
      <c r="G24" s="235">
        <f t="shared" si="0"/>
        <v>23.6</v>
      </c>
      <c r="H24" s="235">
        <f t="shared" si="0"/>
        <v>19.477611940298505</v>
      </c>
      <c r="I24" s="163"/>
      <c r="J24" s="164"/>
      <c r="K24" s="163"/>
      <c r="L24" s="163"/>
      <c r="M24" s="165"/>
      <c r="N24" s="165"/>
      <c r="O24" s="165"/>
      <c r="P24" s="165"/>
      <c r="Q24" s="165"/>
      <c r="R24" s="165"/>
      <c r="S24" s="165"/>
    </row>
    <row r="25" spans="1:19" ht="90" x14ac:dyDescent="0.25">
      <c r="A25" s="195" t="s">
        <v>147</v>
      </c>
      <c r="B25" s="194">
        <v>2021</v>
      </c>
      <c r="C25" s="163">
        <f>208.7/14</f>
        <v>14.907142857142857</v>
      </c>
      <c r="D25" s="163">
        <f>1627.1/77</f>
        <v>21.131168831168829</v>
      </c>
      <c r="E25" s="163">
        <f>239.4/19.1</f>
        <v>12.534031413612565</v>
      </c>
      <c r="F25" s="163">
        <f>710.9/50</f>
        <v>14.218</v>
      </c>
      <c r="G25" s="163">
        <f>181/7.5</f>
        <v>24.133333333333333</v>
      </c>
      <c r="H25" s="163">
        <f>266.5/13.4</f>
        <v>19.888059701492537</v>
      </c>
      <c r="I25" s="163"/>
      <c r="J25" s="163"/>
      <c r="K25" s="163">
        <f t="shared" ref="K25:S25" si="1">K31:Z31</f>
        <v>0</v>
      </c>
      <c r="L25" s="163">
        <f t="shared" si="1"/>
        <v>0</v>
      </c>
      <c r="M25" s="163">
        <f t="shared" si="1"/>
        <v>0</v>
      </c>
      <c r="N25" s="163">
        <f t="shared" si="1"/>
        <v>0</v>
      </c>
      <c r="O25" s="163">
        <f t="shared" si="1"/>
        <v>0</v>
      </c>
      <c r="P25" s="163">
        <f t="shared" si="1"/>
        <v>0</v>
      </c>
      <c r="Q25" s="163">
        <f t="shared" si="1"/>
        <v>0</v>
      </c>
      <c r="R25" s="163">
        <f t="shared" si="1"/>
        <v>0</v>
      </c>
      <c r="S25" s="163">
        <f t="shared" si="1"/>
        <v>0</v>
      </c>
    </row>
    <row r="26" spans="1:19" x14ac:dyDescent="0.25">
      <c r="A26" s="193" t="s">
        <v>83</v>
      </c>
      <c r="B26" s="194">
        <v>2021</v>
      </c>
      <c r="C26" s="163">
        <f>217.7/14</f>
        <v>15.549999999999999</v>
      </c>
      <c r="D26" s="163">
        <f>1696.4/77</f>
        <v>22.031168831168831</v>
      </c>
      <c r="E26" s="163">
        <f>229/19.1</f>
        <v>11.989528795811518</v>
      </c>
      <c r="F26" s="163">
        <f>741.4/50</f>
        <v>14.827999999999999</v>
      </c>
      <c r="G26" s="163">
        <f>188.4/7.5</f>
        <v>25.12</v>
      </c>
      <c r="H26" s="163">
        <f>184.8/8.9</f>
        <v>20.764044943820224</v>
      </c>
      <c r="I26" s="163"/>
      <c r="J26" s="164"/>
      <c r="K26" s="163"/>
      <c r="L26" s="163"/>
      <c r="M26" s="165"/>
      <c r="N26" s="165"/>
      <c r="O26" s="165"/>
      <c r="P26" s="165"/>
      <c r="Q26" s="165"/>
      <c r="R26" s="165"/>
      <c r="S26" s="165"/>
    </row>
    <row r="27" spans="1:19" x14ac:dyDescent="0.25">
      <c r="A27" s="193" t="s">
        <v>84</v>
      </c>
      <c r="B27" s="194">
        <v>2021</v>
      </c>
      <c r="C27" s="235">
        <f>C28</f>
        <v>19.87142857142857</v>
      </c>
      <c r="D27" s="235">
        <f t="shared" ref="D27:H27" si="2">D28</f>
        <v>28.161038961038962</v>
      </c>
      <c r="E27" s="235">
        <f t="shared" si="2"/>
        <v>22.979057591623032</v>
      </c>
      <c r="F27" s="235">
        <f t="shared" si="2"/>
        <v>18.948</v>
      </c>
      <c r="G27" s="235">
        <f t="shared" si="2"/>
        <v>32.146666666666668</v>
      </c>
      <c r="H27" s="235">
        <f t="shared" si="2"/>
        <v>26.507462686567163</v>
      </c>
      <c r="I27" s="163"/>
      <c r="J27" s="164"/>
      <c r="K27" s="163"/>
      <c r="L27" s="163"/>
      <c r="M27" s="165"/>
      <c r="N27" s="165"/>
      <c r="O27" s="165"/>
      <c r="P27" s="165"/>
      <c r="Q27" s="165"/>
      <c r="R27" s="165"/>
      <c r="S27" s="165"/>
    </row>
    <row r="28" spans="1:19" x14ac:dyDescent="0.25">
      <c r="A28" s="193" t="s">
        <v>85</v>
      </c>
      <c r="B28" s="194">
        <v>2021</v>
      </c>
      <c r="C28" s="163">
        <f>278.2/14</f>
        <v>19.87142857142857</v>
      </c>
      <c r="D28" s="163">
        <f>2168.4/77</f>
        <v>28.161038961038962</v>
      </c>
      <c r="E28" s="163">
        <f>438.9/19.1</f>
        <v>22.979057591623032</v>
      </c>
      <c r="F28" s="163">
        <f>947.4/50</f>
        <v>18.948</v>
      </c>
      <c r="G28" s="163">
        <f>241.1/7.5</f>
        <v>32.146666666666668</v>
      </c>
      <c r="H28" s="163">
        <f>355.2/13.4</f>
        <v>26.507462686567163</v>
      </c>
      <c r="I28" s="163"/>
      <c r="J28" s="164"/>
      <c r="K28" s="163"/>
      <c r="L28" s="163"/>
      <c r="M28" s="165"/>
      <c r="N28" s="165"/>
      <c r="O28" s="165"/>
      <c r="P28" s="165"/>
      <c r="Q28" s="165"/>
      <c r="R28" s="165"/>
      <c r="S28" s="165"/>
    </row>
    <row r="29" spans="1:19" ht="105" x14ac:dyDescent="0.25">
      <c r="A29" s="195" t="s">
        <v>86</v>
      </c>
      <c r="B29" s="194">
        <v>2021</v>
      </c>
      <c r="C29" s="163">
        <f>214/14</f>
        <v>15.285714285714286</v>
      </c>
      <c r="D29" s="163">
        <f>2168.4/77</f>
        <v>28.161038961038962</v>
      </c>
      <c r="E29" s="163">
        <f>337.6/19.1</f>
        <v>17.675392670157066</v>
      </c>
      <c r="F29" s="163">
        <f>947.5/50</f>
        <v>18.95</v>
      </c>
      <c r="G29" s="163">
        <f>241.2/7.5</f>
        <v>32.159999999999997</v>
      </c>
      <c r="H29" s="163">
        <f>273.2/13.4</f>
        <v>20.388059701492537</v>
      </c>
      <c r="I29" s="163"/>
      <c r="J29" s="164"/>
      <c r="K29" s="163"/>
      <c r="L29" s="163"/>
      <c r="M29" s="165"/>
      <c r="N29" s="165"/>
      <c r="O29" s="165"/>
      <c r="P29" s="165"/>
      <c r="Q29" s="165"/>
      <c r="R29" s="165"/>
      <c r="S29" s="165"/>
    </row>
    <row r="30" spans="1:19" x14ac:dyDescent="0.25">
      <c r="A30" s="158" t="s">
        <v>87</v>
      </c>
      <c r="B30" s="159">
        <v>2020</v>
      </c>
      <c r="C30" s="160"/>
      <c r="D30" s="160"/>
      <c r="E30" s="160"/>
      <c r="F30" s="160"/>
      <c r="G30" s="160"/>
      <c r="H30" s="160"/>
      <c r="I30" s="160"/>
      <c r="J30" s="161"/>
      <c r="K30" s="160"/>
      <c r="L30" s="160"/>
      <c r="M30" s="162"/>
      <c r="N30" s="162"/>
      <c r="O30" s="162"/>
      <c r="P30" s="162"/>
      <c r="Q30" s="162"/>
      <c r="R30" s="162"/>
      <c r="S30" s="162"/>
    </row>
    <row r="31" spans="1:19" x14ac:dyDescent="0.25">
      <c r="A31" s="193" t="s">
        <v>87</v>
      </c>
      <c r="B31" s="194">
        <v>2021</v>
      </c>
      <c r="C31" s="163"/>
      <c r="D31" s="163"/>
      <c r="E31" s="163"/>
      <c r="F31" s="163"/>
      <c r="G31" s="163"/>
      <c r="H31" s="163"/>
      <c r="I31" s="163"/>
      <c r="J31" s="164"/>
      <c r="K31" s="163"/>
      <c r="L31" s="163"/>
      <c r="M31" s="165"/>
      <c r="N31" s="165"/>
      <c r="O31" s="165"/>
      <c r="P31" s="165"/>
      <c r="Q31" s="165"/>
      <c r="R31" s="165"/>
      <c r="S31" s="165"/>
    </row>
    <row r="32" spans="1:19" x14ac:dyDescent="0.25">
      <c r="A32" s="158" t="s">
        <v>88</v>
      </c>
      <c r="B32" s="159">
        <v>2020</v>
      </c>
      <c r="C32" s="160">
        <v>15.22</v>
      </c>
      <c r="D32" s="160">
        <v>21.56</v>
      </c>
      <c r="E32" s="160">
        <v>17.594999999999999</v>
      </c>
      <c r="F32" s="160">
        <v>14.507999999999999</v>
      </c>
      <c r="G32" s="160">
        <v>0</v>
      </c>
      <c r="H32" s="160">
        <v>20.292000000000002</v>
      </c>
      <c r="I32" s="160">
        <v>24.576000000000001</v>
      </c>
      <c r="J32" s="161">
        <v>27.552</v>
      </c>
      <c r="K32" s="160"/>
      <c r="L32" s="160"/>
      <c r="M32" s="162"/>
      <c r="N32" s="162"/>
      <c r="O32" s="162"/>
      <c r="P32" s="162"/>
      <c r="Q32" s="162"/>
      <c r="R32" s="162"/>
      <c r="S32" s="162"/>
    </row>
    <row r="33" spans="1:19" x14ac:dyDescent="0.25">
      <c r="A33" s="193" t="s">
        <v>88</v>
      </c>
      <c r="B33" s="194">
        <v>2021</v>
      </c>
      <c r="C33" s="163">
        <v>15.827999999999999</v>
      </c>
      <c r="D33" s="163">
        <f>22.422</f>
        <v>22.422000000000001</v>
      </c>
      <c r="E33" s="163">
        <f>18.742</f>
        <v>18.742000000000001</v>
      </c>
      <c r="F33" s="163">
        <f>15.088</f>
        <v>15.087999999999999</v>
      </c>
      <c r="G33" s="163">
        <v>0</v>
      </c>
      <c r="H33" s="163">
        <f>21.104</f>
        <v>21.103999999999999</v>
      </c>
      <c r="I33" s="163">
        <v>25.559000000000001</v>
      </c>
      <c r="J33" s="164">
        <v>28.654</v>
      </c>
      <c r="K33" s="163"/>
      <c r="L33" s="163"/>
      <c r="M33" s="165"/>
      <c r="N33" s="165"/>
      <c r="O33" s="165"/>
      <c r="P33" s="165"/>
      <c r="Q33" s="165"/>
      <c r="R33" s="165"/>
      <c r="S33" s="165"/>
    </row>
    <row r="34" spans="1:19" x14ac:dyDescent="0.25">
      <c r="A34" s="158" t="s">
        <v>174</v>
      </c>
      <c r="B34" s="159">
        <v>2020</v>
      </c>
      <c r="C34" s="160">
        <v>15.24</v>
      </c>
      <c r="D34" s="160">
        <v>21.67</v>
      </c>
      <c r="E34" s="160">
        <v>17.55</v>
      </c>
      <c r="F34" s="160">
        <v>14.6</v>
      </c>
      <c r="G34" s="160">
        <v>0</v>
      </c>
      <c r="H34" s="160">
        <v>20.43</v>
      </c>
      <c r="I34" s="160"/>
      <c r="J34" s="161"/>
      <c r="K34" s="160"/>
      <c r="L34" s="160"/>
      <c r="M34" s="162"/>
      <c r="N34" s="162"/>
      <c r="O34" s="162"/>
      <c r="P34" s="162"/>
      <c r="Q34" s="162"/>
      <c r="R34" s="162"/>
      <c r="S34" s="162"/>
    </row>
    <row r="35" spans="1:19" x14ac:dyDescent="0.25">
      <c r="A35" s="193" t="s">
        <v>174</v>
      </c>
      <c r="B35" s="194">
        <v>2021</v>
      </c>
      <c r="C35" s="163">
        <v>15.77</v>
      </c>
      <c r="D35" s="163">
        <v>22.42</v>
      </c>
      <c r="E35" s="163">
        <v>18.16</v>
      </c>
      <c r="F35" s="163">
        <v>15.11</v>
      </c>
      <c r="G35" s="163">
        <v>0</v>
      </c>
      <c r="H35" s="163">
        <v>21.14</v>
      </c>
      <c r="I35" s="163"/>
      <c r="J35" s="164"/>
      <c r="K35" s="163"/>
      <c r="L35" s="163"/>
      <c r="M35" s="165"/>
      <c r="N35" s="165"/>
      <c r="O35" s="165"/>
      <c r="P35" s="165"/>
      <c r="Q35" s="165"/>
      <c r="R35" s="165"/>
      <c r="S35" s="165"/>
    </row>
    <row r="36" spans="1:19" x14ac:dyDescent="0.25">
      <c r="A36" s="158" t="s">
        <v>89</v>
      </c>
      <c r="B36" s="159">
        <v>2020</v>
      </c>
      <c r="C36" s="160">
        <v>14.936</v>
      </c>
      <c r="D36" s="160">
        <v>21.141999999999999</v>
      </c>
      <c r="E36" s="160">
        <v>11.507999999999999</v>
      </c>
      <c r="F36" s="160">
        <v>14.228</v>
      </c>
      <c r="G36" s="160">
        <v>24.106999999999999</v>
      </c>
      <c r="H36" s="160">
        <v>13.067</v>
      </c>
      <c r="I36" s="160"/>
      <c r="J36" s="161"/>
      <c r="K36" s="160"/>
      <c r="L36" s="160"/>
      <c r="M36" s="162"/>
      <c r="N36" s="162"/>
      <c r="O36" s="162"/>
      <c r="P36" s="162"/>
      <c r="Q36" s="162"/>
      <c r="R36" s="162"/>
      <c r="S36" s="162"/>
    </row>
    <row r="37" spans="1:19" x14ac:dyDescent="0.25">
      <c r="A37" s="193" t="s">
        <v>89</v>
      </c>
      <c r="B37" s="194">
        <v>2021</v>
      </c>
      <c r="C37" s="163">
        <f>218.5/14</f>
        <v>15.607142857142858</v>
      </c>
      <c r="D37" s="163">
        <f>1701.2/77</f>
        <v>22.093506493506496</v>
      </c>
      <c r="E37" s="163">
        <f>229.7/19.1</f>
        <v>12.026178010471202</v>
      </c>
      <c r="F37" s="163">
        <f>743.4/50</f>
        <v>14.868</v>
      </c>
      <c r="G37" s="163">
        <f>188.9/7.5</f>
        <v>25.186666666666667</v>
      </c>
      <c r="H37" s="163">
        <f>183/13.4</f>
        <v>13.656716417910447</v>
      </c>
      <c r="I37" s="163"/>
      <c r="J37" s="164"/>
      <c r="K37" s="163"/>
      <c r="L37" s="163"/>
      <c r="M37" s="165"/>
      <c r="N37" s="165"/>
      <c r="O37" s="165"/>
      <c r="P37" s="165"/>
      <c r="Q37" s="165"/>
      <c r="R37" s="165"/>
      <c r="S37" s="165"/>
    </row>
    <row r="38" spans="1:19" x14ac:dyDescent="0.25">
      <c r="A38" s="158" t="s">
        <v>90</v>
      </c>
      <c r="B38" s="159">
        <v>2020</v>
      </c>
      <c r="C38" s="160"/>
      <c r="D38" s="160">
        <v>21.645454545454545</v>
      </c>
      <c r="E38" s="160">
        <v>17.481675392670155</v>
      </c>
      <c r="F38" s="160">
        <v>14.565999999999999</v>
      </c>
      <c r="G38" s="160">
        <v>24.673333333333336</v>
      </c>
      <c r="H38" s="160">
        <v>20.156716417910449</v>
      </c>
      <c r="I38" s="160"/>
      <c r="J38" s="161"/>
      <c r="K38" s="160"/>
      <c r="L38" s="160"/>
      <c r="M38" s="162"/>
      <c r="N38" s="162"/>
      <c r="O38" s="162"/>
      <c r="P38" s="162"/>
      <c r="Q38" s="162"/>
      <c r="R38" s="162"/>
      <c r="S38" s="162"/>
    </row>
    <row r="39" spans="1:19" x14ac:dyDescent="0.25">
      <c r="A39" s="193" t="s">
        <v>90</v>
      </c>
      <c r="B39" s="194">
        <v>2021</v>
      </c>
      <c r="C39" s="163">
        <v>15.872999999999999</v>
      </c>
      <c r="D39" s="163">
        <f>22.348/77</f>
        <v>0.29023376623376623</v>
      </c>
      <c r="E39" s="163">
        <f>18.05</f>
        <v>18.05</v>
      </c>
      <c r="F39" s="163">
        <v>15.038</v>
      </c>
      <c r="G39" s="163">
        <f>192.26/7.5</f>
        <v>25.634666666666664</v>
      </c>
      <c r="H39" s="163">
        <v>20.812000000000001</v>
      </c>
      <c r="I39" s="163"/>
      <c r="J39" s="164"/>
      <c r="K39" s="163"/>
      <c r="L39" s="163"/>
      <c r="M39" s="165"/>
      <c r="N39" s="165"/>
      <c r="O39" s="165"/>
      <c r="P39" s="165"/>
      <c r="Q39" s="165"/>
      <c r="R39" s="165"/>
      <c r="S39" s="165"/>
    </row>
    <row r="40" spans="1:19" x14ac:dyDescent="0.25">
      <c r="A40" s="158" t="s">
        <v>91</v>
      </c>
      <c r="B40" s="159">
        <v>2020</v>
      </c>
      <c r="C40" s="160">
        <v>14.73</v>
      </c>
      <c r="D40" s="160">
        <v>20.867000000000001</v>
      </c>
      <c r="E40" s="160">
        <v>17.029</v>
      </c>
      <c r="F40" s="160">
        <v>14.041</v>
      </c>
      <c r="G40" s="160">
        <v>0</v>
      </c>
      <c r="H40" s="160">
        <v>19.64</v>
      </c>
      <c r="I40" s="160">
        <v>23.768000000000001</v>
      </c>
      <c r="J40" s="161">
        <v>26.666</v>
      </c>
      <c r="K40" s="160"/>
      <c r="L40" s="160"/>
      <c r="M40" s="162"/>
      <c r="N40" s="162"/>
      <c r="O40" s="162"/>
      <c r="P40" s="162"/>
      <c r="Q40" s="162"/>
      <c r="R40" s="162"/>
      <c r="S40" s="162"/>
    </row>
    <row r="41" spans="1:19" x14ac:dyDescent="0.25">
      <c r="A41" s="193" t="s">
        <v>91</v>
      </c>
      <c r="B41" s="194">
        <v>2021</v>
      </c>
      <c r="C41" s="163">
        <v>15.32</v>
      </c>
      <c r="D41" s="163">
        <v>21.701000000000001</v>
      </c>
      <c r="E41" s="163">
        <v>17.71</v>
      </c>
      <c r="F41" s="163">
        <v>14.603</v>
      </c>
      <c r="G41" s="163">
        <v>0</v>
      </c>
      <c r="H41" s="163">
        <v>20.425000000000001</v>
      </c>
      <c r="I41" s="163">
        <v>24.738</v>
      </c>
      <c r="J41" s="164">
        <v>27.733000000000001</v>
      </c>
      <c r="K41" s="163"/>
      <c r="L41" s="163"/>
      <c r="M41" s="165"/>
      <c r="N41" s="165"/>
      <c r="O41" s="165"/>
      <c r="P41" s="165"/>
      <c r="Q41" s="165"/>
      <c r="R41" s="165"/>
      <c r="S41" s="165"/>
    </row>
    <row r="42" spans="1:19" x14ac:dyDescent="0.25">
      <c r="A42" s="158" t="s">
        <v>92</v>
      </c>
      <c r="B42" s="159">
        <v>2020</v>
      </c>
      <c r="C42" s="167">
        <v>53.323999999999998</v>
      </c>
      <c r="D42" s="167"/>
      <c r="E42" s="167"/>
      <c r="F42" s="167"/>
      <c r="G42" s="167"/>
      <c r="H42" s="167"/>
      <c r="I42" s="167"/>
      <c r="J42" s="161"/>
      <c r="K42" s="168">
        <v>46.273845648303308</v>
      </c>
      <c r="L42" s="168">
        <v>46.037263287508111</v>
      </c>
      <c r="M42" s="181">
        <v>982878.04687499988</v>
      </c>
      <c r="N42" s="181">
        <v>155</v>
      </c>
      <c r="O42" s="181">
        <v>282</v>
      </c>
      <c r="P42" s="181">
        <v>267</v>
      </c>
      <c r="Q42" s="181">
        <v>462</v>
      </c>
      <c r="R42" s="181">
        <v>447</v>
      </c>
      <c r="S42" s="181"/>
    </row>
    <row r="43" spans="1:19" x14ac:dyDescent="0.25">
      <c r="A43" s="193" t="s">
        <v>92</v>
      </c>
      <c r="B43" s="194">
        <v>2021</v>
      </c>
      <c r="C43" s="236">
        <f>C42*1.053</f>
        <v>56.150171999999998</v>
      </c>
      <c r="D43" s="196"/>
      <c r="E43" s="196"/>
      <c r="F43" s="196"/>
      <c r="G43" s="196"/>
      <c r="H43" s="196"/>
      <c r="I43" s="196"/>
      <c r="J43" s="164"/>
      <c r="K43" s="169">
        <f>($M43/$N43+O43*$C43)/Q43</f>
        <v>48.959691778749473</v>
      </c>
      <c r="L43" s="169">
        <f>($M43/$N43+P43*$C43)/R43</f>
        <v>48.718400496157173</v>
      </c>
      <c r="M43" s="189">
        <f>675300*1.15*1.125*1.125*1.07</f>
        <v>1051679.5101562499</v>
      </c>
      <c r="N43" s="182">
        <v>155</v>
      </c>
      <c r="O43" s="182">
        <v>282</v>
      </c>
      <c r="P43" s="182">
        <v>267</v>
      </c>
      <c r="Q43" s="182">
        <v>462</v>
      </c>
      <c r="R43" s="182">
        <v>447</v>
      </c>
      <c r="S43" s="165"/>
    </row>
    <row r="44" spans="1:19" x14ac:dyDescent="0.25">
      <c r="A44" s="158" t="s">
        <v>93</v>
      </c>
      <c r="B44" s="159">
        <v>2020</v>
      </c>
      <c r="C44" s="167">
        <v>45.850999999999999</v>
      </c>
      <c r="D44" s="167"/>
      <c r="E44" s="167"/>
      <c r="F44" s="167"/>
      <c r="G44" s="167"/>
      <c r="H44" s="167"/>
      <c r="I44" s="167"/>
      <c r="J44" s="161"/>
      <c r="K44" s="160"/>
      <c r="L44" s="160"/>
      <c r="M44" s="162"/>
      <c r="N44" s="162"/>
      <c r="O44" s="162"/>
      <c r="P44" s="162"/>
      <c r="Q44" s="162"/>
      <c r="R44" s="162"/>
      <c r="S44" s="162"/>
    </row>
    <row r="45" spans="1:19" x14ac:dyDescent="0.25">
      <c r="A45" s="193" t="s">
        <v>93</v>
      </c>
      <c r="B45" s="194">
        <v>2021</v>
      </c>
      <c r="C45" s="236">
        <f>C44*1.053</f>
        <v>48.281102999999995</v>
      </c>
      <c r="D45" s="196"/>
      <c r="E45" s="196"/>
      <c r="F45" s="196"/>
      <c r="G45" s="196"/>
      <c r="H45" s="196"/>
      <c r="I45" s="196"/>
      <c r="J45" s="164"/>
      <c r="K45" s="163"/>
      <c r="L45" s="163"/>
      <c r="M45" s="165"/>
      <c r="N45" s="165"/>
      <c r="O45" s="165"/>
      <c r="P45" s="165"/>
      <c r="Q45" s="165"/>
      <c r="R45" s="165"/>
      <c r="S45" s="165"/>
    </row>
    <row r="46" spans="1:19" x14ac:dyDescent="0.25">
      <c r="A46" s="158" t="s">
        <v>94</v>
      </c>
      <c r="B46" s="159">
        <v>2020</v>
      </c>
      <c r="C46" s="167">
        <v>39.514000000000003</v>
      </c>
      <c r="D46" s="167"/>
      <c r="E46" s="167"/>
      <c r="F46" s="167"/>
      <c r="G46" s="167"/>
      <c r="H46" s="167"/>
      <c r="I46" s="167"/>
      <c r="J46" s="161"/>
      <c r="K46" s="168">
        <v>37.844365128822787</v>
      </c>
      <c r="L46" s="168">
        <v>37.78833711301148</v>
      </c>
      <c r="M46" s="181">
        <v>982878.04687499988</v>
      </c>
      <c r="N46" s="181">
        <v>155</v>
      </c>
      <c r="O46" s="181">
        <v>282</v>
      </c>
      <c r="P46" s="181">
        <v>267</v>
      </c>
      <c r="Q46" s="181">
        <v>462</v>
      </c>
      <c r="R46" s="181">
        <v>447</v>
      </c>
      <c r="S46" s="181"/>
    </row>
    <row r="47" spans="1:19" x14ac:dyDescent="0.25">
      <c r="A47" s="193" t="s">
        <v>94</v>
      </c>
      <c r="B47" s="194">
        <v>2021</v>
      </c>
      <c r="C47" s="236">
        <f>C46*1.053</f>
        <v>41.608241999999997</v>
      </c>
      <c r="D47" s="196"/>
      <c r="E47" s="196"/>
      <c r="F47" s="196"/>
      <c r="G47" s="196"/>
      <c r="H47" s="196"/>
      <c r="I47" s="196"/>
      <c r="J47" s="164"/>
      <c r="K47" s="169">
        <f>($M47/$N47+O47*$C47)/Q47</f>
        <v>40.083448791736487</v>
      </c>
      <c r="L47" s="169">
        <f>($M47/$N47+P47*$C47)/R47</f>
        <v>40.03228123441221</v>
      </c>
      <c r="M47" s="182">
        <f>M43</f>
        <v>1051679.5101562499</v>
      </c>
      <c r="N47" s="182">
        <v>155</v>
      </c>
      <c r="O47" s="182">
        <v>282</v>
      </c>
      <c r="P47" s="182">
        <v>267</v>
      </c>
      <c r="Q47" s="182">
        <v>462</v>
      </c>
      <c r="R47" s="182">
        <v>447</v>
      </c>
      <c r="S47" s="165"/>
    </row>
    <row r="48" spans="1:19" x14ac:dyDescent="0.25">
      <c r="A48" s="172"/>
      <c r="B48" s="173"/>
      <c r="C48" s="174"/>
      <c r="D48" s="174"/>
      <c r="E48" s="174"/>
      <c r="F48" s="174"/>
      <c r="G48" s="174"/>
      <c r="H48" s="174"/>
      <c r="I48" s="174"/>
      <c r="J48" s="183"/>
      <c r="K48" s="175"/>
      <c r="L48" s="175"/>
      <c r="M48" s="184"/>
      <c r="N48" s="184"/>
      <c r="O48" s="184"/>
      <c r="P48" s="184"/>
      <c r="Q48" s="184"/>
      <c r="R48" s="184"/>
      <c r="S48" s="184"/>
    </row>
    <row r="49" spans="1:19" x14ac:dyDescent="0.25">
      <c r="A49" s="158" t="s">
        <v>138</v>
      </c>
      <c r="B49" s="159">
        <v>2020</v>
      </c>
      <c r="C49" s="160">
        <v>15.792999999999999</v>
      </c>
      <c r="D49" s="160">
        <v>22.373999999999999</v>
      </c>
      <c r="E49" s="160">
        <v>12.183</v>
      </c>
      <c r="F49" s="160">
        <v>15.055999999999999</v>
      </c>
      <c r="G49" s="160">
        <v>25.507000000000001</v>
      </c>
      <c r="H49" s="160">
        <v>13.813000000000001</v>
      </c>
      <c r="I49" s="167"/>
      <c r="J49" s="161"/>
      <c r="K49" s="160"/>
      <c r="L49" s="160"/>
      <c r="M49" s="162"/>
      <c r="N49" s="162"/>
      <c r="O49" s="162"/>
      <c r="P49" s="162"/>
      <c r="Q49" s="162"/>
      <c r="R49" s="162"/>
      <c r="S49" s="162"/>
    </row>
    <row r="50" spans="1:19" x14ac:dyDescent="0.25">
      <c r="A50" s="193" t="s">
        <v>138</v>
      </c>
      <c r="B50" s="194">
        <v>2021</v>
      </c>
      <c r="C50" s="163">
        <f>233.3/14</f>
        <v>16.664285714285715</v>
      </c>
      <c r="D50" s="163">
        <f>1817.6/77</f>
        <v>23.605194805194802</v>
      </c>
      <c r="E50" s="163">
        <f>245.5/19.1</f>
        <v>12.853403141361255</v>
      </c>
      <c r="F50" s="163">
        <f>794.2/50</f>
        <v>15.884</v>
      </c>
      <c r="G50" s="163">
        <f>201.8/7.5</f>
        <v>26.90666666666667</v>
      </c>
      <c r="H50" s="163">
        <f>195.3/13.4</f>
        <v>14.574626865671643</v>
      </c>
      <c r="I50" s="196"/>
      <c r="J50" s="164"/>
      <c r="K50" s="163"/>
      <c r="L50" s="163"/>
      <c r="M50" s="165"/>
      <c r="N50" s="165"/>
      <c r="O50" s="165"/>
      <c r="P50" s="165"/>
      <c r="Q50" s="165"/>
      <c r="R50" s="165"/>
      <c r="S50" s="165"/>
    </row>
    <row r="51" spans="1:19" x14ac:dyDescent="0.25">
      <c r="A51" s="158" t="s">
        <v>139</v>
      </c>
      <c r="B51" s="159">
        <v>2020</v>
      </c>
      <c r="C51" s="160">
        <v>13.721428571428572</v>
      </c>
      <c r="D51" s="160">
        <v>19.425974025974025</v>
      </c>
      <c r="E51" s="160">
        <v>0</v>
      </c>
      <c r="F51" s="160">
        <v>13.072000000000001</v>
      </c>
      <c r="G51" s="160">
        <v>22.173333333333336</v>
      </c>
      <c r="H51" s="160">
        <v>0</v>
      </c>
      <c r="I51" s="167"/>
      <c r="J51" s="161"/>
      <c r="K51" s="160"/>
      <c r="L51" s="160"/>
      <c r="M51" s="162"/>
      <c r="N51" s="162"/>
      <c r="O51" s="162"/>
      <c r="P51" s="162"/>
      <c r="Q51" s="162"/>
      <c r="R51" s="162"/>
      <c r="S51" s="162"/>
    </row>
    <row r="52" spans="1:19" x14ac:dyDescent="0.25">
      <c r="A52" s="193" t="s">
        <v>139</v>
      </c>
      <c r="B52" s="194">
        <v>2021</v>
      </c>
      <c r="C52" s="163">
        <f>198.6/14</f>
        <v>14.185714285714285</v>
      </c>
      <c r="D52" s="163">
        <f>1546.7/77</f>
        <v>20.087012987012987</v>
      </c>
      <c r="E52" s="163">
        <v>0</v>
      </c>
      <c r="F52" s="163">
        <f>675.8/50</f>
        <v>13.515999999999998</v>
      </c>
      <c r="G52" s="163">
        <f>172/7.5</f>
        <v>22.933333333333334</v>
      </c>
      <c r="H52" s="163">
        <v>0</v>
      </c>
      <c r="I52" s="196"/>
      <c r="J52" s="164"/>
      <c r="K52" s="163"/>
      <c r="L52" s="163"/>
      <c r="M52" s="165"/>
      <c r="N52" s="165"/>
      <c r="O52" s="165"/>
      <c r="P52" s="165"/>
      <c r="Q52" s="165"/>
      <c r="R52" s="165"/>
      <c r="S52" s="165"/>
    </row>
    <row r="53" spans="1:19" x14ac:dyDescent="0.25">
      <c r="A53" s="158" t="s">
        <v>140</v>
      </c>
      <c r="B53" s="159">
        <v>2020</v>
      </c>
      <c r="C53" s="160"/>
      <c r="D53" s="160"/>
      <c r="E53" s="160"/>
      <c r="F53" s="160"/>
      <c r="G53" s="160"/>
      <c r="H53" s="160"/>
      <c r="I53" s="167"/>
      <c r="J53" s="161"/>
      <c r="K53" s="160"/>
      <c r="L53" s="160"/>
      <c r="M53" s="162"/>
      <c r="N53" s="162"/>
      <c r="O53" s="162"/>
      <c r="P53" s="162"/>
      <c r="Q53" s="162"/>
      <c r="R53" s="162"/>
      <c r="S53" s="162">
        <v>13.47</v>
      </c>
    </row>
    <row r="54" spans="1:19" x14ac:dyDescent="0.25">
      <c r="A54" s="193" t="s">
        <v>140</v>
      </c>
      <c r="B54" s="194">
        <v>2021</v>
      </c>
      <c r="C54" s="163"/>
      <c r="D54" s="163"/>
      <c r="E54" s="163"/>
      <c r="F54" s="163"/>
      <c r="G54" s="163"/>
      <c r="H54" s="163"/>
      <c r="I54" s="196"/>
      <c r="J54" s="164"/>
      <c r="K54" s="163"/>
      <c r="L54" s="163"/>
      <c r="M54" s="165"/>
      <c r="N54" s="165"/>
      <c r="O54" s="165"/>
      <c r="P54" s="165"/>
      <c r="Q54" s="165"/>
      <c r="R54" s="165"/>
      <c r="S54" s="163">
        <v>13.913</v>
      </c>
    </row>
    <row r="55" spans="1:19" x14ac:dyDescent="0.25">
      <c r="A55" s="158" t="s">
        <v>141</v>
      </c>
      <c r="B55" s="159">
        <v>2020</v>
      </c>
      <c r="C55" s="160"/>
      <c r="D55" s="160"/>
      <c r="E55" s="160"/>
      <c r="F55" s="160"/>
      <c r="G55" s="160"/>
      <c r="H55" s="160"/>
      <c r="I55" s="167"/>
      <c r="J55" s="161"/>
      <c r="K55" s="160"/>
      <c r="L55" s="160"/>
      <c r="M55" s="162"/>
      <c r="N55" s="162"/>
      <c r="O55" s="162"/>
      <c r="P55" s="162"/>
      <c r="Q55" s="162"/>
      <c r="R55" s="162"/>
      <c r="S55" s="160">
        <v>14.347</v>
      </c>
    </row>
    <row r="56" spans="1:19" x14ac:dyDescent="0.25">
      <c r="A56" s="193" t="s">
        <v>141</v>
      </c>
      <c r="B56" s="194">
        <v>2021</v>
      </c>
      <c r="C56" s="163"/>
      <c r="D56" s="163"/>
      <c r="E56" s="163"/>
      <c r="F56" s="163"/>
      <c r="G56" s="163"/>
      <c r="H56" s="163"/>
      <c r="I56" s="196"/>
      <c r="J56" s="164"/>
      <c r="K56" s="163"/>
      <c r="L56" s="163"/>
      <c r="M56" s="165"/>
      <c r="N56" s="165"/>
      <c r="O56" s="165"/>
      <c r="P56" s="165"/>
      <c r="Q56" s="165"/>
      <c r="R56" s="165"/>
      <c r="S56" s="163">
        <v>14.82</v>
      </c>
    </row>
    <row r="57" spans="1:19" x14ac:dyDescent="0.25">
      <c r="A57" s="176"/>
      <c r="B57" s="177"/>
      <c r="C57" s="178"/>
      <c r="D57" s="178"/>
      <c r="E57" s="178"/>
      <c r="F57" s="178"/>
      <c r="G57" s="178"/>
      <c r="H57" s="178"/>
      <c r="I57" s="178"/>
      <c r="J57" s="185"/>
      <c r="K57" s="179"/>
      <c r="L57" s="179"/>
      <c r="M57" s="186"/>
      <c r="N57" s="186"/>
      <c r="O57" s="186"/>
      <c r="P57" s="186"/>
      <c r="Q57" s="186"/>
      <c r="R57" s="186"/>
      <c r="S57" s="186"/>
    </row>
    <row r="58" spans="1:19" ht="45" x14ac:dyDescent="0.25">
      <c r="A58" s="166" t="s">
        <v>148</v>
      </c>
      <c r="B58" s="159">
        <v>2020</v>
      </c>
      <c r="C58" s="160">
        <v>14.7</v>
      </c>
      <c r="D58" s="160">
        <v>20.83</v>
      </c>
      <c r="E58" s="160">
        <v>16.995000000000001</v>
      </c>
      <c r="F58" s="160">
        <v>18.224</v>
      </c>
      <c r="G58" s="160">
        <v>23.786999999999999</v>
      </c>
      <c r="H58" s="160">
        <v>19.603999999999999</v>
      </c>
      <c r="I58" s="167"/>
      <c r="J58" s="161"/>
      <c r="K58" s="160"/>
      <c r="L58" s="160"/>
      <c r="M58" s="162"/>
      <c r="N58" s="162"/>
      <c r="O58" s="162"/>
      <c r="P58" s="162"/>
      <c r="Q58" s="162"/>
      <c r="R58" s="162"/>
      <c r="S58" s="162"/>
    </row>
    <row r="59" spans="1:19" ht="45" x14ac:dyDescent="0.25">
      <c r="A59" s="195" t="s">
        <v>148</v>
      </c>
      <c r="B59" s="194">
        <v>2021</v>
      </c>
      <c r="C59" s="163">
        <f>214/14</f>
        <v>15.285714285714286</v>
      </c>
      <c r="D59" s="163">
        <f>1668.1/77</f>
        <v>21.663636363636364</v>
      </c>
      <c r="E59" s="163">
        <f>337.6/19.1</f>
        <v>17.675392670157066</v>
      </c>
      <c r="F59" s="163">
        <f>947.6/50</f>
        <v>18.952000000000002</v>
      </c>
      <c r="G59" s="163">
        <f>185.5/7.5</f>
        <v>24.733333333333334</v>
      </c>
      <c r="H59" s="163">
        <f>273.2/13.4</f>
        <v>20.388059701492537</v>
      </c>
      <c r="I59" s="196"/>
      <c r="J59" s="164"/>
      <c r="K59" s="163"/>
      <c r="L59" s="163"/>
      <c r="M59" s="165"/>
      <c r="N59" s="165"/>
      <c r="O59" s="165"/>
      <c r="P59" s="165"/>
      <c r="Q59" s="165"/>
      <c r="R59" s="165"/>
      <c r="S59" s="163"/>
    </row>
    <row r="60" spans="1:19" x14ac:dyDescent="0.25">
      <c r="A60" s="176"/>
      <c r="B60" s="177"/>
      <c r="C60" s="178"/>
      <c r="D60" s="178"/>
      <c r="E60" s="178"/>
      <c r="F60" s="178"/>
      <c r="G60" s="178"/>
      <c r="H60" s="178"/>
      <c r="I60" s="178"/>
      <c r="J60" s="185"/>
      <c r="K60" s="179"/>
      <c r="L60" s="179"/>
      <c r="M60" s="186"/>
      <c r="N60" s="186"/>
      <c r="O60" s="186"/>
      <c r="P60" s="186"/>
      <c r="Q60" s="186"/>
      <c r="R60" s="186"/>
      <c r="S60" s="186"/>
    </row>
    <row r="61" spans="1:19" x14ac:dyDescent="0.25">
      <c r="A61" s="158" t="s">
        <v>175</v>
      </c>
      <c r="B61" s="159">
        <v>2020</v>
      </c>
      <c r="C61" s="160">
        <v>15.24</v>
      </c>
      <c r="D61" s="160">
        <v>21.67</v>
      </c>
      <c r="E61" s="160">
        <v>17.55</v>
      </c>
      <c r="F61" s="160">
        <v>14.6</v>
      </c>
      <c r="G61" s="160">
        <v>0</v>
      </c>
      <c r="H61" s="160">
        <v>20.43</v>
      </c>
      <c r="I61" s="160"/>
      <c r="J61" s="161"/>
      <c r="K61" s="160"/>
      <c r="L61" s="160"/>
      <c r="M61" s="162"/>
      <c r="N61" s="162"/>
      <c r="O61" s="162"/>
      <c r="P61" s="162"/>
      <c r="Q61" s="162"/>
      <c r="R61" s="162"/>
      <c r="S61" s="162"/>
    </row>
    <row r="62" spans="1:19" x14ac:dyDescent="0.25">
      <c r="A62" s="193" t="s">
        <v>175</v>
      </c>
      <c r="B62" s="194">
        <v>2021</v>
      </c>
      <c r="C62" s="163">
        <v>15.46</v>
      </c>
      <c r="D62" s="163">
        <v>21.99</v>
      </c>
      <c r="E62" s="163">
        <v>17.809999999999999</v>
      </c>
      <c r="F62" s="163">
        <v>14.81</v>
      </c>
      <c r="G62" s="163">
        <v>0</v>
      </c>
      <c r="H62" s="163">
        <v>20.73</v>
      </c>
      <c r="I62" s="163"/>
      <c r="J62" s="164"/>
      <c r="K62" s="163"/>
      <c r="L62" s="163"/>
      <c r="M62" s="165"/>
      <c r="N62" s="165"/>
      <c r="O62" s="165"/>
      <c r="P62" s="165"/>
      <c r="Q62" s="165"/>
      <c r="R62" s="165"/>
      <c r="S62" s="165"/>
    </row>
  </sheetData>
  <sheetProtection algorithmName="SHA-512" hashValue="uPZuwHBtw5KqoTisMbAfl8xRAvfTvD6lO6rzYwUpDB32GSRqk7XpzWI5wB38CBzLnMkNskGfNMabylvpbZ0dyw==" saltValue="7DLv27wX+rcgaWojJVirSA==" spinCount="100000" sheet="1" formatCells="0" formatColumns="0" formatRows="0"/>
  <pageMargins left="0.7" right="0.7" top="0.75" bottom="0.75" header="0.3" footer="0.3"/>
  <pageSetup paperSize="9" scale="6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Comparative Tariffs</vt:lpstr>
      <vt:lpstr>RCF</vt:lpstr>
      <vt:lpstr>'Comparative Tariffs'!Print_Area</vt:lpstr>
      <vt:lpstr>'Comparative Tariffs'!Print_Titles</vt:lpstr>
      <vt:lpstr>RCF!Print_Titles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2021-01-20T15:46:22Z</cp:lastPrinted>
  <dcterms:created xsi:type="dcterms:W3CDTF">2007-01-02T12:57:15Z</dcterms:created>
  <dcterms:modified xsi:type="dcterms:W3CDTF">2021-01-21T07:07:49Z</dcterms:modified>
</cp:coreProperties>
</file>