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Peet\Dropbox\HealthMan Tariffs 2022\"/>
    </mc:Choice>
  </mc:AlternateContent>
  <xr:revisionPtr revIDLastSave="0" documentId="13_ncr:1_{083CD435-6097-4425-B69A-09D07F1B3E66}" xr6:coauthVersionLast="47" xr6:coauthVersionMax="47" xr10:uidLastSave="{00000000-0000-0000-0000-000000000000}"/>
  <bookViews>
    <workbookView xWindow="-120" yWindow="-120" windowWidth="20730" windowHeight="11160" xr2:uid="{00000000-000D-0000-FFFF-FFFF00000000}"/>
  </bookViews>
  <sheets>
    <sheet name="Neur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'Neurology Comparative Tariffs'!$A$1:$BB$79</definedName>
    <definedName name="_xlnm.Print_Titles" localSheetId="0">'Neurology Comparative Tariffs'!$A:$E,'Neurology Comparative Tariffs'!$1:$7</definedName>
    <definedName name="VAT">[1]Parameters!$C$20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2" i="1" l="1"/>
  <c r="F13" i="1"/>
  <c r="F14" i="1"/>
  <c r="F15" i="1"/>
  <c r="F17" i="1"/>
  <c r="F18" i="1"/>
  <c r="F19" i="1"/>
  <c r="F20" i="1"/>
  <c r="F21" i="1"/>
  <c r="F22" i="1"/>
  <c r="F23" i="1"/>
  <c r="F24" i="1"/>
  <c r="F25" i="1"/>
  <c r="F27" i="1"/>
  <c r="F11" i="1"/>
  <c r="H59" i="2"/>
  <c r="G59" i="2"/>
  <c r="F59" i="2"/>
  <c r="E59" i="2"/>
  <c r="D59" i="2"/>
  <c r="C59" i="2"/>
  <c r="S56" i="2"/>
  <c r="S54" i="2"/>
  <c r="C47" i="2"/>
  <c r="C45" i="2"/>
  <c r="M43" i="2"/>
  <c r="M47" i="2" s="1"/>
  <c r="C43" i="2"/>
  <c r="L43" i="2" s="1"/>
  <c r="H39" i="2"/>
  <c r="G39" i="2"/>
  <c r="F39" i="2"/>
  <c r="E39" i="2"/>
  <c r="D39" i="2"/>
  <c r="C39" i="2"/>
  <c r="H33" i="2"/>
  <c r="G33" i="2"/>
  <c r="F33" i="2"/>
  <c r="E33" i="2"/>
  <c r="D33" i="2"/>
  <c r="C33" i="2"/>
  <c r="H29" i="2"/>
  <c r="G29" i="2"/>
  <c r="F29" i="2"/>
  <c r="E29" i="2"/>
  <c r="D29" i="2"/>
  <c r="C29" i="2"/>
  <c r="H28" i="2"/>
  <c r="H27" i="2" s="1"/>
  <c r="G28" i="2"/>
  <c r="G27" i="2" s="1"/>
  <c r="F28" i="2"/>
  <c r="E28" i="2"/>
  <c r="E27" i="2" s="1"/>
  <c r="D28" i="2"/>
  <c r="D27" i="2" s="1"/>
  <c r="C28" i="2"/>
  <c r="C27" i="2" s="1"/>
  <c r="F27" i="2"/>
  <c r="H26" i="2"/>
  <c r="G26" i="2"/>
  <c r="F26" i="2"/>
  <c r="E26" i="2"/>
  <c r="D26" i="2"/>
  <c r="C26" i="2"/>
  <c r="S25" i="2"/>
  <c r="R25" i="2"/>
  <c r="Q25" i="2"/>
  <c r="P25" i="2"/>
  <c r="O25" i="2"/>
  <c r="N25" i="2"/>
  <c r="M25" i="2"/>
  <c r="L25" i="2"/>
  <c r="K25" i="2"/>
  <c r="H25" i="2"/>
  <c r="G25" i="2"/>
  <c r="F25" i="2"/>
  <c r="E25" i="2"/>
  <c r="D25" i="2"/>
  <c r="C25" i="2"/>
  <c r="E24" i="2"/>
  <c r="H23" i="2"/>
  <c r="H24" i="2" s="1"/>
  <c r="G23" i="2"/>
  <c r="G24" i="2" s="1"/>
  <c r="F23" i="2"/>
  <c r="F24" i="2" s="1"/>
  <c r="D23" i="2"/>
  <c r="D24" i="2" s="1"/>
  <c r="C23" i="2"/>
  <c r="C24" i="2" s="1"/>
  <c r="H22" i="2"/>
  <c r="G22" i="2"/>
  <c r="F22" i="2"/>
  <c r="D22" i="2"/>
  <c r="C22" i="2"/>
  <c r="K43" i="2" l="1"/>
  <c r="K47" i="2"/>
  <c r="L47" i="2"/>
  <c r="AY16" i="1"/>
  <c r="E16" i="1" l="1"/>
  <c r="D16" i="1" s="1"/>
  <c r="V16" i="1"/>
  <c r="X16" i="1"/>
  <c r="Z16" i="1" s="1"/>
  <c r="Y16" i="1"/>
  <c r="AF16" i="1"/>
  <c r="AG16" i="1"/>
  <c r="AH16" i="1"/>
  <c r="AI16" i="1"/>
  <c r="AK16" i="1"/>
  <c r="AM16" i="1"/>
  <c r="AO16" i="1"/>
  <c r="AN16" i="1" s="1"/>
  <c r="AP16" i="1" s="1"/>
  <c r="AR16" i="1"/>
  <c r="AS16" i="1"/>
  <c r="AT16" i="1"/>
  <c r="AV16" i="1"/>
  <c r="AZ16" i="1"/>
  <c r="BB16" i="1"/>
  <c r="BA16" i="1" s="1"/>
  <c r="AB16" i="1" l="1"/>
  <c r="AC16" i="1"/>
  <c r="AA16" i="1"/>
  <c r="AD16" i="1"/>
  <c r="E54" i="1" l="1"/>
  <c r="D54" i="1" s="1"/>
  <c r="G54" i="1"/>
  <c r="I54" i="1" s="1"/>
  <c r="R54" i="1"/>
  <c r="Q54" i="1" s="1"/>
  <c r="V54" i="1"/>
  <c r="X54" i="1" s="1"/>
  <c r="AF54" i="1"/>
  <c r="AE54" i="1" s="1"/>
  <c r="AG54" i="1" s="1"/>
  <c r="AO54" i="1"/>
  <c r="AN54" i="1" s="1"/>
  <c r="AP54" i="1" s="1"/>
  <c r="AR54" i="1"/>
  <c r="AQ54" i="1" s="1"/>
  <c r="AS54" i="1" s="1"/>
  <c r="AV54" i="1"/>
  <c r="AU54" i="1" s="1"/>
  <c r="BB54" i="1"/>
  <c r="BA54" i="1" s="1"/>
  <c r="E58" i="1"/>
  <c r="D58" i="1" s="1"/>
  <c r="G58" i="1"/>
  <c r="F58" i="1" s="1"/>
  <c r="R58" i="1"/>
  <c r="Q58" i="1" s="1"/>
  <c r="V58" i="1"/>
  <c r="U58" i="1" s="1"/>
  <c r="AF58" i="1"/>
  <c r="AE58" i="1" s="1"/>
  <c r="AO58" i="1"/>
  <c r="AN58" i="1" s="1"/>
  <c r="AP58" i="1" s="1"/>
  <c r="AR58" i="1"/>
  <c r="AQ58" i="1" s="1"/>
  <c r="AV58" i="1"/>
  <c r="AU58" i="1" s="1"/>
  <c r="BB58" i="1"/>
  <c r="BA58" i="1" s="1"/>
  <c r="I58" i="1" l="1"/>
  <c r="K58" i="1" s="1"/>
  <c r="AI58" i="1"/>
  <c r="AH58" i="1"/>
  <c r="AG58" i="1"/>
  <c r="AB54" i="1"/>
  <c r="AD54" i="1"/>
  <c r="AC54" i="1"/>
  <c r="AA54" i="1"/>
  <c r="Z54" i="1"/>
  <c r="W54" i="1"/>
  <c r="Y54" i="1" s="1"/>
  <c r="S58" i="1"/>
  <c r="T58" i="1"/>
  <c r="T54" i="1"/>
  <c r="S54" i="1"/>
  <c r="AT58" i="1"/>
  <c r="AS58" i="1"/>
  <c r="H54" i="1"/>
  <c r="L54" i="1"/>
  <c r="P54" i="1"/>
  <c r="M54" i="1"/>
  <c r="K54" i="1"/>
  <c r="J54" i="1"/>
  <c r="N54" i="1"/>
  <c r="O54" i="1"/>
  <c r="AT54" i="1"/>
  <c r="F54" i="1"/>
  <c r="AI54" i="1"/>
  <c r="AH54" i="1"/>
  <c r="X58" i="1"/>
  <c r="U54" i="1"/>
  <c r="L58" i="1" l="1"/>
  <c r="O58" i="1"/>
  <c r="H58" i="1"/>
  <c r="M58" i="1"/>
  <c r="P58" i="1"/>
  <c r="J58" i="1"/>
  <c r="N58" i="1"/>
  <c r="W58" i="1"/>
  <c r="Y58" i="1" s="1"/>
  <c r="AA58" i="1"/>
  <c r="Z58" i="1"/>
  <c r="AB58" i="1"/>
  <c r="AC58" i="1"/>
  <c r="AD58" i="1"/>
  <c r="E71" i="1" l="1"/>
  <c r="D71" i="1" s="1"/>
  <c r="G71" i="1"/>
  <c r="F71" i="1" s="1"/>
  <c r="R71" i="1"/>
  <c r="Q71" i="1" s="1"/>
  <c r="V71" i="1"/>
  <c r="U71" i="1" s="1"/>
  <c r="AF71" i="1"/>
  <c r="AE71" i="1" s="1"/>
  <c r="AO71" i="1"/>
  <c r="AN71" i="1" s="1"/>
  <c r="AP71" i="1" s="1"/>
  <c r="AR71" i="1"/>
  <c r="AQ71" i="1" s="1"/>
  <c r="AV71" i="1"/>
  <c r="AU71" i="1" s="1"/>
  <c r="BB71" i="1"/>
  <c r="BA71" i="1" s="1"/>
  <c r="I71" i="1" l="1"/>
  <c r="K71" i="1" s="1"/>
  <c r="X71" i="1"/>
  <c r="Z71" i="1" s="1"/>
  <c r="AG71" i="1"/>
  <c r="AH71" i="1"/>
  <c r="AI71" i="1"/>
  <c r="S71" i="1"/>
  <c r="T71" i="1"/>
  <c r="AS71" i="1"/>
  <c r="AT71" i="1"/>
  <c r="E26" i="1"/>
  <c r="D26" i="1" s="1"/>
  <c r="R26" i="1"/>
  <c r="S26" i="1"/>
  <c r="T26" i="1"/>
  <c r="V26" i="1"/>
  <c r="X26" i="1"/>
  <c r="AA26" i="1" s="1"/>
  <c r="Y26" i="1"/>
  <c r="AF26" i="1"/>
  <c r="AG26" i="1"/>
  <c r="AH26" i="1"/>
  <c r="AI26" i="1"/>
  <c r="AK26" i="1"/>
  <c r="AM26" i="1"/>
  <c r="AO26" i="1"/>
  <c r="AN26" i="1" s="1"/>
  <c r="AP26" i="1" s="1"/>
  <c r="AR26" i="1"/>
  <c r="AS26" i="1"/>
  <c r="AT26" i="1"/>
  <c r="AV26" i="1"/>
  <c r="AZ26" i="1"/>
  <c r="BB26" i="1"/>
  <c r="AA71" i="1" l="1"/>
  <c r="AD71" i="1"/>
  <c r="W71" i="1"/>
  <c r="Y71" i="1" s="1"/>
  <c r="J71" i="1"/>
  <c r="H71" i="1"/>
  <c r="O71" i="1"/>
  <c r="M71" i="1"/>
  <c r="L71" i="1"/>
  <c r="P71" i="1"/>
  <c r="N71" i="1"/>
  <c r="AC71" i="1"/>
  <c r="AB71" i="1"/>
  <c r="AD26" i="1"/>
  <c r="AC26" i="1"/>
  <c r="AB26" i="1"/>
  <c r="AM58" i="1" l="1"/>
  <c r="AL58" i="1" s="1"/>
  <c r="AM54" i="1"/>
  <c r="AL54" i="1" s="1"/>
  <c r="AM71" i="1"/>
  <c r="AL71" i="1" s="1"/>
  <c r="AZ54" i="1"/>
  <c r="AY54" i="1" s="1"/>
  <c r="AZ58" i="1"/>
  <c r="AY58" i="1" s="1"/>
  <c r="AZ71" i="1"/>
  <c r="AY71" i="1" s="1"/>
  <c r="AK54" i="1"/>
  <c r="AJ54" i="1" s="1"/>
  <c r="AK58" i="1"/>
  <c r="AJ58" i="1" s="1"/>
  <c r="AK71" i="1"/>
  <c r="AJ71" i="1" s="1"/>
  <c r="BB18" i="1" l="1"/>
  <c r="V42" i="1" l="1"/>
  <c r="X42" i="1"/>
  <c r="W42" i="1" s="1"/>
  <c r="V43" i="1"/>
  <c r="X43" i="1"/>
  <c r="W43" i="1" s="1"/>
  <c r="V44" i="1"/>
  <c r="X44" i="1"/>
  <c r="W44" i="1" s="1"/>
  <c r="V45" i="1"/>
  <c r="X45" i="1"/>
  <c r="W45" i="1" s="1"/>
  <c r="V46" i="1"/>
  <c r="X46" i="1"/>
  <c r="W46" i="1" s="1"/>
  <c r="V47" i="1"/>
  <c r="X47" i="1"/>
  <c r="W47" i="1" s="1"/>
  <c r="X41" i="1"/>
  <c r="V41"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Z44" i="1" l="1"/>
  <c r="Y45" i="1"/>
  <c r="Z46" i="1"/>
  <c r="AC47" i="1"/>
  <c r="G42" i="1"/>
  <c r="F42" i="1" s="1"/>
  <c r="I42" i="1"/>
  <c r="G43" i="1"/>
  <c r="F43" i="1" s="1"/>
  <c r="I43" i="1"/>
  <c r="G44" i="1"/>
  <c r="F44" i="1" s="1"/>
  <c r="I44" i="1"/>
  <c r="O44" i="1" s="1"/>
  <c r="G45" i="1"/>
  <c r="F45" i="1" s="1"/>
  <c r="I45" i="1"/>
  <c r="G46" i="1"/>
  <c r="F46" i="1" s="1"/>
  <c r="I46" i="1"/>
  <c r="O46" i="1" s="1"/>
  <c r="G47" i="1"/>
  <c r="F47" i="1" s="1"/>
  <c r="I47" i="1"/>
  <c r="G41" i="1"/>
  <c r="I41" i="1"/>
  <c r="BB77" i="1"/>
  <c r="BA77" i="1" s="1"/>
  <c r="AZ77" i="1"/>
  <c r="AY77" i="1" s="1"/>
  <c r="AV77" i="1"/>
  <c r="AU77" i="1" s="1"/>
  <c r="AR77" i="1"/>
  <c r="AQ77" i="1" s="1"/>
  <c r="AO77" i="1"/>
  <c r="AN77" i="1" s="1"/>
  <c r="AP77" i="1" s="1"/>
  <c r="AM77" i="1"/>
  <c r="AL77" i="1" s="1"/>
  <c r="AK77" i="1"/>
  <c r="AJ77" i="1" s="1"/>
  <c r="AF77" i="1"/>
  <c r="AE77" i="1" s="1"/>
  <c r="V77" i="1"/>
  <c r="X77" i="1" s="1"/>
  <c r="R77" i="1"/>
  <c r="Q77" i="1" s="1"/>
  <c r="G77" i="1"/>
  <c r="I77" i="1" s="1"/>
  <c r="E77" i="1"/>
  <c r="D77" i="1" s="1"/>
  <c r="BB76" i="1"/>
  <c r="BA76" i="1" s="1"/>
  <c r="AZ76" i="1"/>
  <c r="AY76" i="1" s="1"/>
  <c r="AV76" i="1"/>
  <c r="AU76" i="1" s="1"/>
  <c r="AR76" i="1"/>
  <c r="AQ76" i="1" s="1"/>
  <c r="AT76" i="1" s="1"/>
  <c r="AO76" i="1"/>
  <c r="AN76" i="1" s="1"/>
  <c r="AP76" i="1" s="1"/>
  <c r="AM76" i="1"/>
  <c r="AL76" i="1" s="1"/>
  <c r="AK76" i="1"/>
  <c r="AJ76" i="1" s="1"/>
  <c r="AF76" i="1"/>
  <c r="AE76" i="1" s="1"/>
  <c r="V76" i="1"/>
  <c r="U76" i="1" s="1"/>
  <c r="R76" i="1"/>
  <c r="Q76" i="1" s="1"/>
  <c r="S76" i="1" s="1"/>
  <c r="G76" i="1"/>
  <c r="I76" i="1" s="1"/>
  <c r="E76" i="1"/>
  <c r="D76" i="1" s="1"/>
  <c r="BB75" i="1"/>
  <c r="BA75" i="1" s="1"/>
  <c r="AZ75" i="1"/>
  <c r="AY75" i="1" s="1"/>
  <c r="AV75" i="1"/>
  <c r="AU75" i="1" s="1"/>
  <c r="AR75" i="1"/>
  <c r="AQ75" i="1" s="1"/>
  <c r="AO75" i="1"/>
  <c r="AN75" i="1" s="1"/>
  <c r="AP75" i="1" s="1"/>
  <c r="AM75" i="1"/>
  <c r="AL75" i="1" s="1"/>
  <c r="AK75" i="1"/>
  <c r="AJ75" i="1" s="1"/>
  <c r="AF75" i="1"/>
  <c r="AE75" i="1" s="1"/>
  <c r="V75" i="1"/>
  <c r="R75" i="1"/>
  <c r="Q75" i="1" s="1"/>
  <c r="S75" i="1" s="1"/>
  <c r="G75" i="1"/>
  <c r="E75" i="1"/>
  <c r="D75" i="1" s="1"/>
  <c r="BB74" i="1"/>
  <c r="BA74" i="1" s="1"/>
  <c r="AZ74" i="1"/>
  <c r="AY74" i="1" s="1"/>
  <c r="AV74" i="1"/>
  <c r="AU74" i="1" s="1"/>
  <c r="AR74" i="1"/>
  <c r="AQ74" i="1" s="1"/>
  <c r="AO74" i="1"/>
  <c r="AN74" i="1" s="1"/>
  <c r="AP74" i="1" s="1"/>
  <c r="AM74" i="1"/>
  <c r="AL74" i="1" s="1"/>
  <c r="AK74" i="1"/>
  <c r="AJ74" i="1" s="1"/>
  <c r="AF74" i="1"/>
  <c r="AE74" i="1" s="1"/>
  <c r="AH74" i="1" s="1"/>
  <c r="V74" i="1"/>
  <c r="X74" i="1" s="1"/>
  <c r="AA74" i="1" s="1"/>
  <c r="R74" i="1"/>
  <c r="Q74" i="1" s="1"/>
  <c r="G74" i="1"/>
  <c r="E74" i="1"/>
  <c r="D74" i="1" s="1"/>
  <c r="BB73" i="1"/>
  <c r="BA73" i="1" s="1"/>
  <c r="AZ73" i="1"/>
  <c r="AY73" i="1" s="1"/>
  <c r="AV73" i="1"/>
  <c r="AU73" i="1" s="1"/>
  <c r="AR73" i="1"/>
  <c r="AQ73" i="1" s="1"/>
  <c r="AS73" i="1" s="1"/>
  <c r="AO73" i="1"/>
  <c r="AN73" i="1" s="1"/>
  <c r="AP73" i="1" s="1"/>
  <c r="AM73" i="1"/>
  <c r="AL73" i="1" s="1"/>
  <c r="AK73" i="1"/>
  <c r="AJ73" i="1" s="1"/>
  <c r="AF73" i="1"/>
  <c r="AE73" i="1" s="1"/>
  <c r="AH73" i="1" s="1"/>
  <c r="V73" i="1"/>
  <c r="R73" i="1"/>
  <c r="Q73" i="1" s="1"/>
  <c r="S73" i="1" s="1"/>
  <c r="G73" i="1"/>
  <c r="E73" i="1"/>
  <c r="D73" i="1" s="1"/>
  <c r="BB72" i="1"/>
  <c r="BA72" i="1" s="1"/>
  <c r="AZ72" i="1"/>
  <c r="AY72" i="1" s="1"/>
  <c r="AV72" i="1"/>
  <c r="AU72" i="1" s="1"/>
  <c r="AR72" i="1"/>
  <c r="AQ72" i="1" s="1"/>
  <c r="AS72" i="1" s="1"/>
  <c r="AO72" i="1"/>
  <c r="AN72" i="1" s="1"/>
  <c r="AP72" i="1" s="1"/>
  <c r="AM72" i="1"/>
  <c r="AL72" i="1" s="1"/>
  <c r="AK72" i="1"/>
  <c r="AJ72" i="1" s="1"/>
  <c r="AF72" i="1"/>
  <c r="AE72" i="1" s="1"/>
  <c r="AH72" i="1" s="1"/>
  <c r="V72" i="1"/>
  <c r="U72" i="1" s="1"/>
  <c r="R72" i="1"/>
  <c r="Q72" i="1" s="1"/>
  <c r="S72" i="1" s="1"/>
  <c r="G72" i="1"/>
  <c r="F72" i="1" s="1"/>
  <c r="E72" i="1"/>
  <c r="D72" i="1" s="1"/>
  <c r="BB70" i="1"/>
  <c r="BA70" i="1" s="1"/>
  <c r="AZ70" i="1"/>
  <c r="AY70" i="1" s="1"/>
  <c r="AV70" i="1"/>
  <c r="AU70" i="1" s="1"/>
  <c r="AR70" i="1"/>
  <c r="AQ70" i="1" s="1"/>
  <c r="AO70" i="1"/>
  <c r="AN70" i="1" s="1"/>
  <c r="AP70" i="1" s="1"/>
  <c r="AM70" i="1"/>
  <c r="AL70" i="1" s="1"/>
  <c r="AK70" i="1"/>
  <c r="AJ70" i="1" s="1"/>
  <c r="AF70" i="1"/>
  <c r="AE70" i="1" s="1"/>
  <c r="V70" i="1"/>
  <c r="R70" i="1"/>
  <c r="Q70" i="1" s="1"/>
  <c r="G70" i="1"/>
  <c r="F70" i="1" s="1"/>
  <c r="E70" i="1"/>
  <c r="D70" i="1" s="1"/>
  <c r="BB69" i="1"/>
  <c r="BA69" i="1" s="1"/>
  <c r="AZ69" i="1"/>
  <c r="AY69" i="1" s="1"/>
  <c r="AV69" i="1"/>
  <c r="AU69" i="1" s="1"/>
  <c r="AR69" i="1"/>
  <c r="AQ69" i="1" s="1"/>
  <c r="AS69" i="1" s="1"/>
  <c r="AO69" i="1"/>
  <c r="AN69" i="1" s="1"/>
  <c r="AP69" i="1" s="1"/>
  <c r="AM69" i="1"/>
  <c r="AL69" i="1" s="1"/>
  <c r="AK69" i="1"/>
  <c r="AJ69" i="1" s="1"/>
  <c r="AF69" i="1"/>
  <c r="AE69" i="1" s="1"/>
  <c r="AH69" i="1" s="1"/>
  <c r="V69" i="1"/>
  <c r="U69" i="1" s="1"/>
  <c r="R69" i="1"/>
  <c r="Q69" i="1" s="1"/>
  <c r="S69" i="1" s="1"/>
  <c r="G69" i="1"/>
  <c r="I69" i="1" s="1"/>
  <c r="E69" i="1"/>
  <c r="D69" i="1" s="1"/>
  <c r="BB68" i="1"/>
  <c r="BA68" i="1" s="1"/>
  <c r="AZ68" i="1"/>
  <c r="AY68" i="1" s="1"/>
  <c r="AV68" i="1"/>
  <c r="AU68" i="1" s="1"/>
  <c r="AR68" i="1"/>
  <c r="AQ68" i="1" s="1"/>
  <c r="AO68" i="1"/>
  <c r="AN68" i="1" s="1"/>
  <c r="AP68" i="1" s="1"/>
  <c r="AM68" i="1"/>
  <c r="AL68" i="1" s="1"/>
  <c r="AK68" i="1"/>
  <c r="AJ68" i="1" s="1"/>
  <c r="AF68" i="1"/>
  <c r="AE68" i="1" s="1"/>
  <c r="V68" i="1"/>
  <c r="R68" i="1"/>
  <c r="Q68" i="1" s="1"/>
  <c r="G68" i="1"/>
  <c r="F68" i="1" s="1"/>
  <c r="E68" i="1"/>
  <c r="D68" i="1" s="1"/>
  <c r="BB67" i="1"/>
  <c r="BA67" i="1" s="1"/>
  <c r="AZ67" i="1"/>
  <c r="AY67" i="1" s="1"/>
  <c r="AV67" i="1"/>
  <c r="AU67" i="1" s="1"/>
  <c r="AR67" i="1"/>
  <c r="AQ67" i="1" s="1"/>
  <c r="AO67" i="1"/>
  <c r="AN67" i="1" s="1"/>
  <c r="AP67" i="1" s="1"/>
  <c r="AM67" i="1"/>
  <c r="AL67" i="1" s="1"/>
  <c r="AK67" i="1"/>
  <c r="AJ67" i="1" s="1"/>
  <c r="AF67" i="1"/>
  <c r="AE67" i="1" s="1"/>
  <c r="V67" i="1"/>
  <c r="X67" i="1" s="1"/>
  <c r="R67" i="1"/>
  <c r="Q67" i="1" s="1"/>
  <c r="G67" i="1"/>
  <c r="I67" i="1" s="1"/>
  <c r="E67" i="1"/>
  <c r="D67" i="1" s="1"/>
  <c r="BB66" i="1"/>
  <c r="BA66" i="1" s="1"/>
  <c r="AZ66" i="1"/>
  <c r="AY66" i="1" s="1"/>
  <c r="AV66" i="1"/>
  <c r="AU66" i="1" s="1"/>
  <c r="AR66" i="1"/>
  <c r="AQ66" i="1" s="1"/>
  <c r="AO66" i="1"/>
  <c r="AN66" i="1" s="1"/>
  <c r="AP66" i="1" s="1"/>
  <c r="AM66" i="1"/>
  <c r="AL66" i="1" s="1"/>
  <c r="AK66" i="1"/>
  <c r="AJ66" i="1" s="1"/>
  <c r="AF66" i="1"/>
  <c r="AE66" i="1" s="1"/>
  <c r="V66" i="1"/>
  <c r="U66" i="1" s="1"/>
  <c r="R66" i="1"/>
  <c r="Q66" i="1" s="1"/>
  <c r="S66" i="1" s="1"/>
  <c r="G66" i="1"/>
  <c r="I66" i="1" s="1"/>
  <c r="E66" i="1"/>
  <c r="D66" i="1" s="1"/>
  <c r="BB65" i="1"/>
  <c r="BA65" i="1" s="1"/>
  <c r="AZ65" i="1"/>
  <c r="AY65" i="1" s="1"/>
  <c r="AV65" i="1"/>
  <c r="AU65" i="1" s="1"/>
  <c r="AR65" i="1"/>
  <c r="AQ65" i="1" s="1"/>
  <c r="AO65" i="1"/>
  <c r="AN65" i="1" s="1"/>
  <c r="AP65" i="1" s="1"/>
  <c r="AM65" i="1"/>
  <c r="AL65" i="1" s="1"/>
  <c r="AK65" i="1"/>
  <c r="AJ65" i="1" s="1"/>
  <c r="AF65" i="1"/>
  <c r="AE65" i="1" s="1"/>
  <c r="V65" i="1"/>
  <c r="R65" i="1"/>
  <c r="Q65" i="1" s="1"/>
  <c r="G65" i="1"/>
  <c r="I65" i="1" s="1"/>
  <c r="E65" i="1"/>
  <c r="D65" i="1" s="1"/>
  <c r="BB59" i="1"/>
  <c r="AZ59" i="1"/>
  <c r="AY59" i="1" s="1"/>
  <c r="AV59" i="1"/>
  <c r="AU59" i="1" s="1"/>
  <c r="AR59" i="1"/>
  <c r="AQ59" i="1" s="1"/>
  <c r="AS59" i="1" s="1"/>
  <c r="AO59" i="1"/>
  <c r="AN59" i="1" s="1"/>
  <c r="AP59" i="1" s="1"/>
  <c r="AM59" i="1"/>
  <c r="AL59" i="1" s="1"/>
  <c r="AK59" i="1"/>
  <c r="AJ59" i="1" s="1"/>
  <c r="AF59" i="1"/>
  <c r="AE59" i="1" s="1"/>
  <c r="AI59" i="1" s="1"/>
  <c r="V59" i="1"/>
  <c r="X59" i="1" s="1"/>
  <c r="R59" i="1"/>
  <c r="Q59" i="1" s="1"/>
  <c r="T59" i="1" s="1"/>
  <c r="G59" i="1"/>
  <c r="I59" i="1" s="1"/>
  <c r="G38" i="1"/>
  <c r="I38" i="1" s="1"/>
  <c r="R38" i="1"/>
  <c r="Q38" i="1" s="1"/>
  <c r="V38" i="1"/>
  <c r="U38" i="1" s="1"/>
  <c r="AF38" i="1"/>
  <c r="AE38" i="1" s="1"/>
  <c r="AK38" i="1"/>
  <c r="AJ38" i="1" s="1"/>
  <c r="AM38" i="1"/>
  <c r="AL38" i="1" s="1"/>
  <c r="AO38" i="1"/>
  <c r="AN38" i="1" s="1"/>
  <c r="AP38" i="1" s="1"/>
  <c r="AR38" i="1"/>
  <c r="AQ38" i="1" s="1"/>
  <c r="AV38" i="1"/>
  <c r="AU38" i="1" s="1"/>
  <c r="AZ38" i="1"/>
  <c r="AY38" i="1" s="1"/>
  <c r="BB38" i="1"/>
  <c r="BA38" i="1" s="1"/>
  <c r="G39" i="1"/>
  <c r="F39" i="1" s="1"/>
  <c r="R39" i="1"/>
  <c r="Q39" i="1" s="1"/>
  <c r="V39" i="1"/>
  <c r="X39" i="1" s="1"/>
  <c r="AF39" i="1"/>
  <c r="AE39" i="1" s="1"/>
  <c r="AK39" i="1"/>
  <c r="AJ39" i="1" s="1"/>
  <c r="AM39" i="1"/>
  <c r="AL39" i="1" s="1"/>
  <c r="AO39" i="1"/>
  <c r="AN39" i="1" s="1"/>
  <c r="AP39" i="1" s="1"/>
  <c r="AR39" i="1"/>
  <c r="AQ39" i="1" s="1"/>
  <c r="AS39" i="1" s="1"/>
  <c r="AV39" i="1"/>
  <c r="AU39" i="1" s="1"/>
  <c r="AZ39" i="1"/>
  <c r="AY39" i="1" s="1"/>
  <c r="BB39" i="1"/>
  <c r="BA39" i="1" s="1"/>
  <c r="G40" i="1"/>
  <c r="F40" i="1" s="1"/>
  <c r="R40" i="1"/>
  <c r="Q40" i="1" s="1"/>
  <c r="V40" i="1"/>
  <c r="X40" i="1" s="1"/>
  <c r="AF40" i="1"/>
  <c r="AE40" i="1" s="1"/>
  <c r="AK40" i="1"/>
  <c r="AJ40" i="1" s="1"/>
  <c r="AM40" i="1"/>
  <c r="AL40" i="1" s="1"/>
  <c r="AO40" i="1"/>
  <c r="AN40" i="1" s="1"/>
  <c r="AP40" i="1" s="1"/>
  <c r="AR40" i="1"/>
  <c r="AQ40" i="1" s="1"/>
  <c r="AV40" i="1"/>
  <c r="AU40" i="1" s="1"/>
  <c r="AZ40" i="1"/>
  <c r="AY40" i="1" s="1"/>
  <c r="BB40" i="1"/>
  <c r="BA40" i="1" s="1"/>
  <c r="R41" i="1"/>
  <c r="Q41" i="1" s="1"/>
  <c r="S41" i="1" s="1"/>
  <c r="AF41" i="1"/>
  <c r="AE41" i="1" s="1"/>
  <c r="AH41" i="1" s="1"/>
  <c r="AK41" i="1"/>
  <c r="AJ41" i="1" s="1"/>
  <c r="AM41" i="1"/>
  <c r="AL41" i="1" s="1"/>
  <c r="AO41" i="1"/>
  <c r="AN41" i="1" s="1"/>
  <c r="AP41" i="1" s="1"/>
  <c r="AR41" i="1"/>
  <c r="AQ41" i="1" s="1"/>
  <c r="AV41" i="1"/>
  <c r="AU41" i="1" s="1"/>
  <c r="AZ41" i="1"/>
  <c r="AY41" i="1" s="1"/>
  <c r="BB41" i="1"/>
  <c r="BA41" i="1" s="1"/>
  <c r="R42" i="1"/>
  <c r="Q42" i="1" s="1"/>
  <c r="AF42" i="1"/>
  <c r="AE42" i="1" s="1"/>
  <c r="AH42" i="1" s="1"/>
  <c r="AK42" i="1"/>
  <c r="AJ42" i="1" s="1"/>
  <c r="AM42" i="1"/>
  <c r="AL42" i="1" s="1"/>
  <c r="AO42" i="1"/>
  <c r="AN42" i="1" s="1"/>
  <c r="AP42" i="1" s="1"/>
  <c r="AR42" i="1"/>
  <c r="AQ42" i="1" s="1"/>
  <c r="AS42" i="1" s="1"/>
  <c r="AV42" i="1"/>
  <c r="AU42" i="1" s="1"/>
  <c r="AZ42" i="1"/>
  <c r="AY42" i="1" s="1"/>
  <c r="BB42" i="1"/>
  <c r="BA42" i="1" s="1"/>
  <c r="R43" i="1"/>
  <c r="Q43" i="1" s="1"/>
  <c r="T43" i="1" s="1"/>
  <c r="U43" i="1"/>
  <c r="AA43" i="1"/>
  <c r="AF43" i="1"/>
  <c r="AE43" i="1" s="1"/>
  <c r="AK43" i="1"/>
  <c r="AJ43" i="1" s="1"/>
  <c r="AM43" i="1"/>
  <c r="AL43" i="1" s="1"/>
  <c r="AO43" i="1"/>
  <c r="AN43" i="1" s="1"/>
  <c r="AP43" i="1" s="1"/>
  <c r="AR43" i="1"/>
  <c r="AQ43" i="1" s="1"/>
  <c r="AT43" i="1" s="1"/>
  <c r="AV43" i="1"/>
  <c r="AU43" i="1" s="1"/>
  <c r="AZ43" i="1"/>
  <c r="AY43" i="1" s="1"/>
  <c r="BB43" i="1"/>
  <c r="BA43" i="1" s="1"/>
  <c r="R44" i="1"/>
  <c r="Q44" i="1" s="1"/>
  <c r="S44" i="1" s="1"/>
  <c r="AF44" i="1"/>
  <c r="AE44" i="1" s="1"/>
  <c r="AH44" i="1" s="1"/>
  <c r="AK44" i="1"/>
  <c r="AJ44" i="1" s="1"/>
  <c r="AM44" i="1"/>
  <c r="AL44" i="1" s="1"/>
  <c r="AO44" i="1"/>
  <c r="AN44" i="1" s="1"/>
  <c r="AP44" i="1" s="1"/>
  <c r="AR44" i="1"/>
  <c r="AQ44" i="1" s="1"/>
  <c r="AS44" i="1" s="1"/>
  <c r="AV44" i="1"/>
  <c r="AU44" i="1" s="1"/>
  <c r="AZ44" i="1"/>
  <c r="AY44" i="1" s="1"/>
  <c r="BB44" i="1"/>
  <c r="BA44" i="1" s="1"/>
  <c r="R45" i="1"/>
  <c r="Q45" i="1" s="1"/>
  <c r="AF45" i="1"/>
  <c r="AE45" i="1" s="1"/>
  <c r="AK45" i="1"/>
  <c r="AJ45" i="1" s="1"/>
  <c r="AM45" i="1"/>
  <c r="AL45" i="1" s="1"/>
  <c r="AO45" i="1"/>
  <c r="AN45" i="1" s="1"/>
  <c r="AP45" i="1" s="1"/>
  <c r="AR45" i="1"/>
  <c r="AQ45" i="1" s="1"/>
  <c r="AT45" i="1" s="1"/>
  <c r="AV45" i="1"/>
  <c r="AU45" i="1" s="1"/>
  <c r="AZ45" i="1"/>
  <c r="AY45" i="1" s="1"/>
  <c r="BB45" i="1"/>
  <c r="BA45" i="1" s="1"/>
  <c r="R46" i="1"/>
  <c r="Q46" i="1" s="1"/>
  <c r="U46" i="1"/>
  <c r="AF46" i="1"/>
  <c r="AE46" i="1" s="1"/>
  <c r="AH46" i="1" s="1"/>
  <c r="AK46" i="1"/>
  <c r="AJ46" i="1" s="1"/>
  <c r="AM46" i="1"/>
  <c r="AL46" i="1" s="1"/>
  <c r="AO46" i="1"/>
  <c r="AN46" i="1" s="1"/>
  <c r="AP46" i="1" s="1"/>
  <c r="AR46" i="1"/>
  <c r="AQ46" i="1" s="1"/>
  <c r="AV46" i="1"/>
  <c r="AU46" i="1" s="1"/>
  <c r="AZ46" i="1"/>
  <c r="AY46" i="1" s="1"/>
  <c r="BB46" i="1"/>
  <c r="BA46" i="1" s="1"/>
  <c r="R47" i="1"/>
  <c r="Q47" i="1" s="1"/>
  <c r="U47" i="1"/>
  <c r="Y47" i="1"/>
  <c r="AF47" i="1"/>
  <c r="AE47" i="1" s="1"/>
  <c r="AH47" i="1" s="1"/>
  <c r="AK47" i="1"/>
  <c r="AJ47" i="1" s="1"/>
  <c r="AM47" i="1"/>
  <c r="AL47" i="1" s="1"/>
  <c r="AO47" i="1"/>
  <c r="AN47" i="1" s="1"/>
  <c r="AP47" i="1" s="1"/>
  <c r="AR47" i="1"/>
  <c r="AQ47" i="1" s="1"/>
  <c r="AT47" i="1" s="1"/>
  <c r="AV47" i="1"/>
  <c r="AU47" i="1" s="1"/>
  <c r="AZ47" i="1"/>
  <c r="AY47" i="1" s="1"/>
  <c r="BB47" i="1"/>
  <c r="BA47" i="1" s="1"/>
  <c r="G48" i="1"/>
  <c r="I48" i="1" s="1"/>
  <c r="R48" i="1"/>
  <c r="Q48" i="1" s="1"/>
  <c r="V48" i="1"/>
  <c r="U48" i="1" s="1"/>
  <c r="AF48" i="1"/>
  <c r="AE48" i="1" s="1"/>
  <c r="AI48" i="1" s="1"/>
  <c r="AK48" i="1"/>
  <c r="AJ48" i="1" s="1"/>
  <c r="AM48" i="1"/>
  <c r="AL48" i="1" s="1"/>
  <c r="AO48" i="1"/>
  <c r="AN48" i="1" s="1"/>
  <c r="AP48" i="1" s="1"/>
  <c r="AR48" i="1"/>
  <c r="AQ48" i="1" s="1"/>
  <c r="AS48" i="1" s="1"/>
  <c r="AV48" i="1"/>
  <c r="AU48" i="1" s="1"/>
  <c r="AZ48" i="1"/>
  <c r="AY48" i="1" s="1"/>
  <c r="BB48" i="1"/>
  <c r="BA48" i="1" s="1"/>
  <c r="G49" i="1"/>
  <c r="I49" i="1" s="1"/>
  <c r="R49" i="1"/>
  <c r="Q49" i="1" s="1"/>
  <c r="V49" i="1"/>
  <c r="X49" i="1" s="1"/>
  <c r="AF49" i="1"/>
  <c r="AE49" i="1" s="1"/>
  <c r="AK49" i="1"/>
  <c r="AJ49" i="1" s="1"/>
  <c r="AM49" i="1"/>
  <c r="AL49" i="1" s="1"/>
  <c r="AO49" i="1"/>
  <c r="AN49" i="1" s="1"/>
  <c r="AP49" i="1" s="1"/>
  <c r="AR49" i="1"/>
  <c r="AQ49" i="1" s="1"/>
  <c r="AV49" i="1"/>
  <c r="AU49" i="1" s="1"/>
  <c r="AZ49" i="1"/>
  <c r="AY49" i="1" s="1"/>
  <c r="BB49" i="1"/>
  <c r="BA49" i="1" s="1"/>
  <c r="G50" i="1"/>
  <c r="I50" i="1" s="1"/>
  <c r="R50" i="1"/>
  <c r="Q50" i="1" s="1"/>
  <c r="S50" i="1" s="1"/>
  <c r="V50" i="1"/>
  <c r="AF50" i="1"/>
  <c r="AE50" i="1" s="1"/>
  <c r="AI50" i="1" s="1"/>
  <c r="AK50" i="1"/>
  <c r="AJ50" i="1" s="1"/>
  <c r="AM50" i="1"/>
  <c r="AL50" i="1" s="1"/>
  <c r="AO50" i="1"/>
  <c r="AN50" i="1" s="1"/>
  <c r="AP50" i="1" s="1"/>
  <c r="AR50" i="1"/>
  <c r="AQ50" i="1" s="1"/>
  <c r="AT50" i="1" s="1"/>
  <c r="AV50" i="1"/>
  <c r="AU50" i="1" s="1"/>
  <c r="AZ50" i="1"/>
  <c r="AY50" i="1" s="1"/>
  <c r="BB50" i="1"/>
  <c r="BA50" i="1" s="1"/>
  <c r="G51" i="1"/>
  <c r="R51" i="1"/>
  <c r="Q51" i="1" s="1"/>
  <c r="S51" i="1" s="1"/>
  <c r="V51" i="1"/>
  <c r="U51" i="1" s="1"/>
  <c r="AF51" i="1"/>
  <c r="AE51" i="1" s="1"/>
  <c r="AH51" i="1" s="1"/>
  <c r="AK51" i="1"/>
  <c r="AJ51" i="1" s="1"/>
  <c r="AM51" i="1"/>
  <c r="AL51" i="1" s="1"/>
  <c r="AO51" i="1"/>
  <c r="AN51" i="1" s="1"/>
  <c r="AP51" i="1" s="1"/>
  <c r="AR51" i="1"/>
  <c r="AQ51" i="1" s="1"/>
  <c r="AS51" i="1" s="1"/>
  <c r="AV51" i="1"/>
  <c r="AU51" i="1" s="1"/>
  <c r="AZ51" i="1"/>
  <c r="AY51" i="1" s="1"/>
  <c r="BB51" i="1"/>
  <c r="BA51" i="1" s="1"/>
  <c r="G52" i="1"/>
  <c r="R52" i="1"/>
  <c r="Q52" i="1" s="1"/>
  <c r="V52" i="1"/>
  <c r="U52" i="1" s="1"/>
  <c r="AF52" i="1"/>
  <c r="AE52" i="1" s="1"/>
  <c r="AH52" i="1" s="1"/>
  <c r="AK52" i="1"/>
  <c r="AJ52" i="1" s="1"/>
  <c r="AM52" i="1"/>
  <c r="AL52" i="1" s="1"/>
  <c r="AO52" i="1"/>
  <c r="AN52" i="1" s="1"/>
  <c r="AP52" i="1" s="1"/>
  <c r="AR52" i="1"/>
  <c r="AQ52" i="1" s="1"/>
  <c r="AT52" i="1" s="1"/>
  <c r="AV52" i="1"/>
  <c r="AU52" i="1" s="1"/>
  <c r="AZ52" i="1"/>
  <c r="AY52" i="1" s="1"/>
  <c r="BB52" i="1"/>
  <c r="BA52" i="1" s="1"/>
  <c r="G53" i="1"/>
  <c r="F53" i="1" s="1"/>
  <c r="R53" i="1"/>
  <c r="Q53" i="1" s="1"/>
  <c r="S53" i="1" s="1"/>
  <c r="V53" i="1"/>
  <c r="U53" i="1" s="1"/>
  <c r="AF53" i="1"/>
  <c r="AE53" i="1" s="1"/>
  <c r="AH53" i="1" s="1"/>
  <c r="AK53" i="1"/>
  <c r="AJ53" i="1" s="1"/>
  <c r="AM53" i="1"/>
  <c r="AL53" i="1" s="1"/>
  <c r="AO53" i="1"/>
  <c r="AN53" i="1" s="1"/>
  <c r="AP53" i="1" s="1"/>
  <c r="AR53" i="1"/>
  <c r="AQ53" i="1" s="1"/>
  <c r="AS53" i="1" s="1"/>
  <c r="AV53" i="1"/>
  <c r="AU53" i="1" s="1"/>
  <c r="AZ53" i="1"/>
  <c r="AY53" i="1" s="1"/>
  <c r="BB53" i="1"/>
  <c r="BA53" i="1" s="1"/>
  <c r="G55" i="1"/>
  <c r="R55" i="1"/>
  <c r="Q55" i="1" s="1"/>
  <c r="V55" i="1"/>
  <c r="X55" i="1" s="1"/>
  <c r="AA55" i="1" s="1"/>
  <c r="AF55" i="1"/>
  <c r="AE55" i="1" s="1"/>
  <c r="AK55" i="1"/>
  <c r="AJ55" i="1" s="1"/>
  <c r="AM55" i="1"/>
  <c r="AL55" i="1" s="1"/>
  <c r="AO55" i="1"/>
  <c r="AN55" i="1" s="1"/>
  <c r="AP55" i="1" s="1"/>
  <c r="AR55" i="1"/>
  <c r="AQ55" i="1" s="1"/>
  <c r="AT55" i="1" s="1"/>
  <c r="AV55" i="1"/>
  <c r="AU55" i="1" s="1"/>
  <c r="AZ55" i="1"/>
  <c r="AY55" i="1" s="1"/>
  <c r="BB55" i="1"/>
  <c r="BA55" i="1" s="1"/>
  <c r="G56" i="1"/>
  <c r="I56" i="1" s="1"/>
  <c r="R56" i="1"/>
  <c r="Q56" i="1" s="1"/>
  <c r="S56" i="1" s="1"/>
  <c r="V56" i="1"/>
  <c r="U56" i="1" s="1"/>
  <c r="AF56" i="1"/>
  <c r="AE56" i="1" s="1"/>
  <c r="AH56" i="1" s="1"/>
  <c r="AK56" i="1"/>
  <c r="AJ56" i="1" s="1"/>
  <c r="AM56" i="1"/>
  <c r="AL56" i="1" s="1"/>
  <c r="AO56" i="1"/>
  <c r="AN56" i="1" s="1"/>
  <c r="AP56" i="1" s="1"/>
  <c r="AR56" i="1"/>
  <c r="AQ56" i="1" s="1"/>
  <c r="AS56" i="1" s="1"/>
  <c r="AV56" i="1"/>
  <c r="AU56" i="1" s="1"/>
  <c r="AZ56" i="1"/>
  <c r="AY56" i="1" s="1"/>
  <c r="BB56" i="1"/>
  <c r="BA56" i="1" s="1"/>
  <c r="G57" i="1"/>
  <c r="F57" i="1" s="1"/>
  <c r="R57" i="1"/>
  <c r="Q57" i="1" s="1"/>
  <c r="S57" i="1" s="1"/>
  <c r="V57" i="1"/>
  <c r="X57" i="1" s="1"/>
  <c r="AF57" i="1"/>
  <c r="AE57" i="1" s="1"/>
  <c r="AK57" i="1"/>
  <c r="AJ57" i="1" s="1"/>
  <c r="AM57" i="1"/>
  <c r="AL57" i="1" s="1"/>
  <c r="AO57" i="1"/>
  <c r="AN57" i="1" s="1"/>
  <c r="AP57" i="1" s="1"/>
  <c r="AR57" i="1"/>
  <c r="AQ57" i="1" s="1"/>
  <c r="AV57" i="1"/>
  <c r="AU57" i="1" s="1"/>
  <c r="AZ57" i="1"/>
  <c r="AY57" i="1" s="1"/>
  <c r="BB57" i="1"/>
  <c r="BA57" i="1" s="1"/>
  <c r="G60" i="1"/>
  <c r="I60" i="1" s="1"/>
  <c r="R60" i="1"/>
  <c r="Q60" i="1" s="1"/>
  <c r="V60" i="1"/>
  <c r="X60" i="1" s="1"/>
  <c r="AF60" i="1"/>
  <c r="AE60" i="1" s="1"/>
  <c r="AK60" i="1"/>
  <c r="AJ60" i="1" s="1"/>
  <c r="AM60" i="1"/>
  <c r="AL60" i="1" s="1"/>
  <c r="AO60" i="1"/>
  <c r="AN60" i="1" s="1"/>
  <c r="AP60" i="1" s="1"/>
  <c r="AR60" i="1"/>
  <c r="AQ60" i="1" s="1"/>
  <c r="AV60" i="1"/>
  <c r="AU60" i="1" s="1"/>
  <c r="AZ60" i="1"/>
  <c r="AY60" i="1" s="1"/>
  <c r="BB60" i="1"/>
  <c r="BA60" i="1" s="1"/>
  <c r="G61" i="1"/>
  <c r="I61" i="1" s="1"/>
  <c r="R61" i="1"/>
  <c r="Q61" i="1" s="1"/>
  <c r="S61" i="1" s="1"/>
  <c r="V61" i="1"/>
  <c r="U61" i="1" s="1"/>
  <c r="AF61" i="1"/>
  <c r="AE61" i="1" s="1"/>
  <c r="AK61" i="1"/>
  <c r="AJ61" i="1" s="1"/>
  <c r="AM61" i="1"/>
  <c r="AL61" i="1" s="1"/>
  <c r="AO61" i="1"/>
  <c r="AN61" i="1" s="1"/>
  <c r="AP61" i="1" s="1"/>
  <c r="AR61" i="1"/>
  <c r="AQ61" i="1" s="1"/>
  <c r="AV61" i="1"/>
  <c r="AU61" i="1" s="1"/>
  <c r="AZ61" i="1"/>
  <c r="AY61" i="1" s="1"/>
  <c r="BB61" i="1"/>
  <c r="BA61" i="1" s="1"/>
  <c r="BB37" i="1"/>
  <c r="BA37" i="1" s="1"/>
  <c r="AZ37" i="1"/>
  <c r="AY37" i="1" s="1"/>
  <c r="AV37" i="1"/>
  <c r="AU37" i="1" s="1"/>
  <c r="AR37" i="1"/>
  <c r="AQ37" i="1" s="1"/>
  <c r="AO37" i="1"/>
  <c r="AN37" i="1" s="1"/>
  <c r="AP37" i="1" s="1"/>
  <c r="AM37" i="1"/>
  <c r="AL37" i="1" s="1"/>
  <c r="AK37" i="1"/>
  <c r="AJ37" i="1" s="1"/>
  <c r="V37" i="1"/>
  <c r="X37" i="1" s="1"/>
  <c r="W37" i="1" s="1"/>
  <c r="Y37" i="1" s="1"/>
  <c r="AF37" i="1"/>
  <c r="AE37" i="1" s="1"/>
  <c r="R37" i="1"/>
  <c r="Q37" i="1" s="1"/>
  <c r="S37" i="1" s="1"/>
  <c r="G37" i="1"/>
  <c r="I37" i="1" s="1"/>
  <c r="E61" i="1"/>
  <c r="E60" i="1"/>
  <c r="E57" i="1"/>
  <c r="E56" i="1"/>
  <c r="E55" i="1"/>
  <c r="E53" i="1"/>
  <c r="E52" i="1"/>
  <c r="E50" i="1"/>
  <c r="E49" i="1"/>
  <c r="E48" i="1"/>
  <c r="E47" i="1"/>
  <c r="E46" i="1"/>
  <c r="E45" i="1"/>
  <c r="E44" i="1"/>
  <c r="E43" i="1"/>
  <c r="E42" i="1"/>
  <c r="E41" i="1"/>
  <c r="E40" i="1"/>
  <c r="E39" i="1"/>
  <c r="E38" i="1"/>
  <c r="E37" i="1"/>
  <c r="E27" i="1"/>
  <c r="E25" i="1"/>
  <c r="E24" i="1"/>
  <c r="E23" i="1"/>
  <c r="E22" i="1"/>
  <c r="E21" i="1"/>
  <c r="E20" i="1"/>
  <c r="E19" i="1"/>
  <c r="E18" i="1"/>
  <c r="E17" i="1"/>
  <c r="E15" i="1"/>
  <c r="E14" i="1"/>
  <c r="E13" i="1"/>
  <c r="E12" i="1"/>
  <c r="E11" i="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O12" i="1"/>
  <c r="AN12" i="1" s="1"/>
  <c r="AP12" i="1" s="1"/>
  <c r="AO13" i="1"/>
  <c r="AN13" i="1" s="1"/>
  <c r="AP13" i="1" s="1"/>
  <c r="AO14" i="1"/>
  <c r="AN14" i="1" s="1"/>
  <c r="AP14" i="1" s="1"/>
  <c r="AO15" i="1"/>
  <c r="AN15" i="1" s="1"/>
  <c r="AP15" i="1" s="1"/>
  <c r="AO17" i="1"/>
  <c r="AN17" i="1" s="1"/>
  <c r="AP17" i="1" s="1"/>
  <c r="AO18" i="1"/>
  <c r="AN18" i="1" s="1"/>
  <c r="AP18" i="1" s="1"/>
  <c r="AO19" i="1"/>
  <c r="AN19" i="1" s="1"/>
  <c r="AP19" i="1" s="1"/>
  <c r="AO20" i="1"/>
  <c r="AN20" i="1" s="1"/>
  <c r="AP20" i="1" s="1"/>
  <c r="AO21" i="1"/>
  <c r="AN21" i="1" s="1"/>
  <c r="AP21" i="1" s="1"/>
  <c r="AO22" i="1"/>
  <c r="AN22" i="1" s="1"/>
  <c r="AP22" i="1" s="1"/>
  <c r="AO23" i="1"/>
  <c r="AN23" i="1" s="1"/>
  <c r="AP23" i="1" s="1"/>
  <c r="AO24" i="1"/>
  <c r="AN24" i="1" s="1"/>
  <c r="AP24" i="1" s="1"/>
  <c r="AO25" i="1"/>
  <c r="AN25" i="1" s="1"/>
  <c r="AP25" i="1" s="1"/>
  <c r="AO27" i="1"/>
  <c r="AN27" i="1" s="1"/>
  <c r="AP27" i="1" s="1"/>
  <c r="AO11" i="1"/>
  <c r="AN11" i="1" s="1"/>
  <c r="AP11" i="1" s="1"/>
  <c r="AD27" i="1"/>
  <c r="AB27" i="1"/>
  <c r="Y23" i="1"/>
  <c r="X12" i="1"/>
  <c r="Y13" i="1"/>
  <c r="X14" i="1"/>
  <c r="Y15" i="1"/>
  <c r="X17" i="1"/>
  <c r="Y18" i="1"/>
  <c r="X19" i="1"/>
  <c r="X20" i="1"/>
  <c r="X21" i="1"/>
  <c r="Y22" i="1"/>
  <c r="X23" i="1"/>
  <c r="Y24" i="1"/>
  <c r="X25" i="1"/>
  <c r="X11" i="1"/>
  <c r="S12" i="1"/>
  <c r="T12" i="1"/>
  <c r="S13" i="1"/>
  <c r="T13" i="1"/>
  <c r="S14" i="1"/>
  <c r="T14" i="1"/>
  <c r="S15" i="1"/>
  <c r="T15" i="1"/>
  <c r="S20" i="1"/>
  <c r="T20" i="1"/>
  <c r="S21" i="1"/>
  <c r="T21" i="1"/>
  <c r="S22" i="1"/>
  <c r="T22" i="1"/>
  <c r="S23" i="1"/>
  <c r="T23" i="1"/>
  <c r="S24" i="1"/>
  <c r="T24" i="1"/>
  <c r="S25" i="1"/>
  <c r="T25" i="1"/>
  <c r="S27" i="1"/>
  <c r="T27" i="1"/>
  <c r="T11" i="1"/>
  <c r="S11" i="1"/>
  <c r="BB25" i="1"/>
  <c r="BB24" i="1"/>
  <c r="BB23" i="1"/>
  <c r="BB22" i="1"/>
  <c r="BB21" i="1"/>
  <c r="BB20"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M11" i="1"/>
  <c r="AF27" i="1"/>
  <c r="AF25" i="1"/>
  <c r="AF24" i="1"/>
  <c r="AF23" i="1"/>
  <c r="AF22" i="1"/>
  <c r="AF21" i="1"/>
  <c r="AF20" i="1"/>
  <c r="AF15" i="1"/>
  <c r="AF14" i="1"/>
  <c r="AF13" i="1"/>
  <c r="AF12" i="1"/>
  <c r="AF11" i="1"/>
  <c r="X27" i="1"/>
  <c r="X22" i="1"/>
  <c r="X18" i="1"/>
  <c r="X13" i="1"/>
  <c r="V27" i="1"/>
  <c r="V25" i="1"/>
  <c r="V24" i="1"/>
  <c r="V23" i="1"/>
  <c r="V22" i="1"/>
  <c r="V21" i="1"/>
  <c r="V20" i="1"/>
  <c r="V19" i="1"/>
  <c r="V18" i="1"/>
  <c r="V17" i="1"/>
  <c r="V15" i="1"/>
  <c r="V14" i="1"/>
  <c r="V13" i="1"/>
  <c r="V12" i="1"/>
  <c r="V11" i="1"/>
  <c r="R27" i="1"/>
  <c r="R25" i="1"/>
  <c r="R24" i="1"/>
  <c r="R23" i="1"/>
  <c r="R22" i="1"/>
  <c r="R21" i="1"/>
  <c r="R20" i="1"/>
  <c r="R15" i="1"/>
  <c r="R14" i="1"/>
  <c r="R13" i="1"/>
  <c r="R12" i="1"/>
  <c r="R11" i="1"/>
  <c r="I27" i="1"/>
  <c r="I25" i="1"/>
  <c r="I24" i="1"/>
  <c r="I23" i="1"/>
  <c r="I22" i="1"/>
  <c r="I21" i="1"/>
  <c r="I20" i="1"/>
  <c r="I19" i="1"/>
  <c r="I18" i="1"/>
  <c r="I17" i="1"/>
  <c r="I15" i="1"/>
  <c r="I14" i="1"/>
  <c r="I13" i="1"/>
  <c r="I12" i="1"/>
  <c r="I11" i="1"/>
  <c r="G12" i="1"/>
  <c r="G13" i="1"/>
  <c r="G14" i="1"/>
  <c r="G15" i="1"/>
  <c r="G17" i="1"/>
  <c r="G18" i="1"/>
  <c r="G19" i="1"/>
  <c r="G20" i="1"/>
  <c r="G21" i="1"/>
  <c r="G22" i="1"/>
  <c r="G23" i="1"/>
  <c r="G24" i="1"/>
  <c r="G25" i="1"/>
  <c r="G27" i="1"/>
  <c r="G11" i="1"/>
  <c r="R16" i="1" l="1"/>
  <c r="R17" i="1"/>
  <c r="R18" i="1"/>
  <c r="R19" i="1"/>
  <c r="F59" i="1"/>
  <c r="P46" i="1"/>
  <c r="M44" i="1"/>
  <c r="M46" i="1"/>
  <c r="N46" i="1"/>
  <c r="N44" i="1"/>
  <c r="J46" i="1"/>
  <c r="P44" i="1"/>
  <c r="J44" i="1"/>
  <c r="H45" i="1"/>
  <c r="K45" i="1"/>
  <c r="L45" i="1"/>
  <c r="L38" i="1"/>
  <c r="K38" i="1"/>
  <c r="N56" i="1"/>
  <c r="K56" i="1"/>
  <c r="L56" i="1"/>
  <c r="H47" i="1"/>
  <c r="K47" i="1"/>
  <c r="L47" i="1"/>
  <c r="M43" i="1"/>
  <c r="K43" i="1"/>
  <c r="L43" i="1"/>
  <c r="J59" i="1"/>
  <c r="K59" i="1"/>
  <c r="L59" i="1"/>
  <c r="H48" i="1"/>
  <c r="K48" i="1"/>
  <c r="L48" i="1"/>
  <c r="K37" i="1"/>
  <c r="L37" i="1"/>
  <c r="K60" i="1"/>
  <c r="L60" i="1"/>
  <c r="K49" i="1"/>
  <c r="L49" i="1"/>
  <c r="J65" i="1"/>
  <c r="K65" i="1"/>
  <c r="L65" i="1"/>
  <c r="K66" i="1"/>
  <c r="L66" i="1"/>
  <c r="K67" i="1"/>
  <c r="L67" i="1"/>
  <c r="N69" i="1"/>
  <c r="K69" i="1"/>
  <c r="L69" i="1"/>
  <c r="K76" i="1"/>
  <c r="L76" i="1"/>
  <c r="K41" i="1"/>
  <c r="L41" i="1"/>
  <c r="H46" i="1"/>
  <c r="K46" i="1"/>
  <c r="L46" i="1"/>
  <c r="H44" i="1"/>
  <c r="K44" i="1"/>
  <c r="L44" i="1"/>
  <c r="L42" i="1"/>
  <c r="K42" i="1"/>
  <c r="E59" i="1"/>
  <c r="E51" i="1"/>
  <c r="D51" i="1" s="1"/>
  <c r="K61" i="1"/>
  <c r="L61" i="1"/>
  <c r="K50" i="1"/>
  <c r="L50" i="1"/>
  <c r="K77" i="1"/>
  <c r="L77" i="1"/>
  <c r="K14" i="1"/>
  <c r="L14" i="1"/>
  <c r="M14" i="1"/>
  <c r="K19" i="1"/>
  <c r="L19" i="1"/>
  <c r="M19" i="1"/>
  <c r="K23" i="1"/>
  <c r="L23" i="1"/>
  <c r="M23" i="1"/>
  <c r="K11" i="1"/>
  <c r="L11" i="1"/>
  <c r="M11" i="1"/>
  <c r="L15" i="1"/>
  <c r="M15" i="1"/>
  <c r="K15" i="1"/>
  <c r="L20" i="1"/>
  <c r="M20" i="1"/>
  <c r="K20" i="1"/>
  <c r="L24" i="1"/>
  <c r="M24" i="1"/>
  <c r="K24" i="1"/>
  <c r="M12" i="1"/>
  <c r="K12" i="1"/>
  <c r="L12" i="1"/>
  <c r="M17" i="1"/>
  <c r="K17" i="1"/>
  <c r="L17" i="1"/>
  <c r="M21" i="1"/>
  <c r="K21" i="1"/>
  <c r="L21" i="1"/>
  <c r="M25" i="1"/>
  <c r="K25" i="1"/>
  <c r="L25" i="1"/>
  <c r="K13" i="1"/>
  <c r="L13" i="1"/>
  <c r="M13" i="1"/>
  <c r="K18" i="1"/>
  <c r="L18" i="1"/>
  <c r="M18" i="1"/>
  <c r="K22" i="1"/>
  <c r="L22" i="1"/>
  <c r="M22" i="1"/>
  <c r="K27" i="1"/>
  <c r="L27" i="1"/>
  <c r="M27" i="1"/>
  <c r="Y14" i="1"/>
  <c r="Y27" i="1"/>
  <c r="U59" i="1"/>
  <c r="W55" i="1"/>
  <c r="Y55" i="1" s="1"/>
  <c r="I53" i="1"/>
  <c r="M53" i="1" s="1"/>
  <c r="X38" i="1"/>
  <c r="AC38" i="1" s="1"/>
  <c r="X76" i="1"/>
  <c r="AA76" i="1" s="1"/>
  <c r="AS55" i="1"/>
  <c r="U45" i="1"/>
  <c r="W74" i="1"/>
  <c r="Y74" i="1" s="1"/>
  <c r="BA59" i="1"/>
  <c r="U57" i="1"/>
  <c r="O43" i="1"/>
  <c r="F38" i="1"/>
  <c r="H43" i="1"/>
  <c r="U55" i="1"/>
  <c r="F49" i="1"/>
  <c r="AG41" i="1"/>
  <c r="I72" i="1"/>
  <c r="U74" i="1"/>
  <c r="AS76" i="1"/>
  <c r="X52" i="1"/>
  <c r="Z52" i="1" s="1"/>
  <c r="I40" i="1"/>
  <c r="I39" i="1"/>
  <c r="J39" i="1" s="1"/>
  <c r="F65" i="1"/>
  <c r="AH61" i="1"/>
  <c r="AG61" i="1"/>
  <c r="AH43" i="1"/>
  <c r="AI43" i="1"/>
  <c r="AT66" i="1"/>
  <c r="AS66" i="1"/>
  <c r="T47" i="1"/>
  <c r="S47" i="1"/>
  <c r="T39" i="1"/>
  <c r="S39" i="1"/>
  <c r="X61" i="1"/>
  <c r="AA61" i="1" s="1"/>
  <c r="AC55" i="1"/>
  <c r="F48" i="1"/>
  <c r="X66" i="1"/>
  <c r="AC66" i="1" s="1"/>
  <c r="J69" i="1"/>
  <c r="X69" i="1"/>
  <c r="AD69" i="1" s="1"/>
  <c r="I70" i="1"/>
  <c r="T72" i="1"/>
  <c r="AT72" i="1"/>
  <c r="P48" i="1"/>
  <c r="U44" i="1"/>
  <c r="AG74" i="1"/>
  <c r="H56" i="1"/>
  <c r="J48" i="1"/>
  <c r="U41" i="1"/>
  <c r="F69" i="1"/>
  <c r="T69" i="1"/>
  <c r="AT69" i="1"/>
  <c r="X72" i="1"/>
  <c r="AD72" i="1" s="1"/>
  <c r="AA27" i="1"/>
  <c r="X24" i="1"/>
  <c r="Y19" i="1"/>
  <c r="Z27" i="1"/>
  <c r="X15" i="1"/>
  <c r="AT61" i="1"/>
  <c r="AS61" i="1"/>
  <c r="AA57" i="1"/>
  <c r="AC57" i="1"/>
  <c r="T55" i="1"/>
  <c r="S55" i="1"/>
  <c r="T45" i="1"/>
  <c r="S45" i="1"/>
  <c r="AI66" i="1"/>
  <c r="AG66" i="1"/>
  <c r="AT68" i="1"/>
  <c r="AS68" i="1"/>
  <c r="U73" i="1"/>
  <c r="X73" i="1"/>
  <c r="Z73" i="1" s="1"/>
  <c r="Y17" i="1"/>
  <c r="T57" i="1"/>
  <c r="S46" i="1"/>
  <c r="T46" i="1"/>
  <c r="S42" i="1"/>
  <c r="T42" i="1"/>
  <c r="AT41" i="1"/>
  <c r="AS41" i="1"/>
  <c r="AG39" i="1"/>
  <c r="AI39" i="1"/>
  <c r="T68" i="1"/>
  <c r="S68" i="1"/>
  <c r="F74" i="1"/>
  <c r="I74" i="1"/>
  <c r="J74" i="1" s="1"/>
  <c r="AT74" i="1"/>
  <c r="AS74" i="1"/>
  <c r="AI76" i="1"/>
  <c r="AG76" i="1"/>
  <c r="AC43" i="1"/>
  <c r="Z43" i="1"/>
  <c r="F52" i="1"/>
  <c r="I52" i="1"/>
  <c r="AH45" i="1"/>
  <c r="AG45" i="1"/>
  <c r="Y20" i="1"/>
  <c r="Y11" i="1"/>
  <c r="AC27" i="1"/>
  <c r="U37" i="1"/>
  <c r="T37" i="1"/>
  <c r="F60" i="1"/>
  <c r="I57" i="1"/>
  <c r="F56" i="1"/>
  <c r="F55" i="1"/>
  <c r="I55" i="1"/>
  <c r="P55" i="1" s="1"/>
  <c r="T52" i="1"/>
  <c r="S52" i="1"/>
  <c r="I51" i="1"/>
  <c r="F51" i="1"/>
  <c r="AS50" i="1"/>
  <c r="X50" i="1"/>
  <c r="AB50" i="1" s="1"/>
  <c r="U50" i="1"/>
  <c r="U65" i="1"/>
  <c r="X65" i="1"/>
  <c r="AD65" i="1" s="1"/>
  <c r="X70" i="1"/>
  <c r="AB70" i="1" s="1"/>
  <c r="U70" i="1"/>
  <c r="I73" i="1"/>
  <c r="F73" i="1"/>
  <c r="T74" i="1"/>
  <c r="S74" i="1"/>
  <c r="U75" i="1"/>
  <c r="X75" i="1"/>
  <c r="AB75" i="1" s="1"/>
  <c r="H42" i="1"/>
  <c r="P42" i="1"/>
  <c r="AA42" i="1"/>
  <c r="U42" i="1"/>
  <c r="T70" i="1"/>
  <c r="S70" i="1"/>
  <c r="Y25" i="1"/>
  <c r="Y21" i="1"/>
  <c r="Y12" i="1"/>
  <c r="AH50" i="1"/>
  <c r="AG50" i="1"/>
  <c r="AH48" i="1"/>
  <c r="AG48" i="1"/>
  <c r="P56" i="1"/>
  <c r="AH55" i="1"/>
  <c r="AG55" i="1"/>
  <c r="S48" i="1"/>
  <c r="T48" i="1"/>
  <c r="AI47" i="1"/>
  <c r="AS46" i="1"/>
  <c r="AT46" i="1"/>
  <c r="AI45" i="1"/>
  <c r="M65" i="1"/>
  <c r="P65" i="1"/>
  <c r="H65" i="1"/>
  <c r="N65" i="1"/>
  <c r="X68" i="1"/>
  <c r="AC68" i="1" s="1"/>
  <c r="U68" i="1"/>
  <c r="AH70" i="1"/>
  <c r="AG70" i="1"/>
  <c r="AT70" i="1"/>
  <c r="AS70" i="1"/>
  <c r="F75" i="1"/>
  <c r="I75" i="1"/>
  <c r="O75" i="1" s="1"/>
  <c r="AT44" i="1"/>
  <c r="T44" i="1"/>
  <c r="F67" i="1"/>
  <c r="F77" i="1"/>
  <c r="AI41" i="1"/>
  <c r="U39" i="1"/>
  <c r="I68" i="1"/>
  <c r="T73" i="1"/>
  <c r="AT73" i="1"/>
  <c r="T75" i="1"/>
  <c r="AB43" i="1"/>
  <c r="Y43" i="1"/>
  <c r="AC45" i="1"/>
  <c r="AD43" i="1"/>
  <c r="AT65" i="1"/>
  <c r="AS65" i="1"/>
  <c r="AI67" i="1"/>
  <c r="AH67" i="1"/>
  <c r="AG67" i="1"/>
  <c r="AT67" i="1"/>
  <c r="AS67" i="1"/>
  <c r="AH68" i="1"/>
  <c r="AI68" i="1"/>
  <c r="AG68" i="1"/>
  <c r="AH65" i="1"/>
  <c r="AG65" i="1"/>
  <c r="AI65" i="1"/>
  <c r="O66" i="1"/>
  <c r="N66" i="1"/>
  <c r="H66" i="1"/>
  <c r="M66" i="1"/>
  <c r="P66" i="1"/>
  <c r="J66" i="1"/>
  <c r="P67" i="1"/>
  <c r="J67" i="1"/>
  <c r="O67" i="1"/>
  <c r="N67" i="1"/>
  <c r="H67" i="1"/>
  <c r="M67" i="1"/>
  <c r="T65" i="1"/>
  <c r="S65" i="1"/>
  <c r="T67" i="1"/>
  <c r="S67" i="1"/>
  <c r="AB67" i="1"/>
  <c r="AA67" i="1"/>
  <c r="W67" i="1"/>
  <c r="Y67" i="1" s="1"/>
  <c r="AD67" i="1"/>
  <c r="Z67" i="1"/>
  <c r="AC67" i="1"/>
  <c r="O65" i="1"/>
  <c r="F66" i="1"/>
  <c r="T66" i="1"/>
  <c r="U67" i="1"/>
  <c r="H69" i="1"/>
  <c r="AT75" i="1"/>
  <c r="AS75" i="1"/>
  <c r="AI77" i="1"/>
  <c r="AH77" i="1"/>
  <c r="AG77" i="1"/>
  <c r="AT77" i="1"/>
  <c r="AS77" i="1"/>
  <c r="AH75" i="1"/>
  <c r="AG75" i="1"/>
  <c r="AI75" i="1"/>
  <c r="O76" i="1"/>
  <c r="N76" i="1"/>
  <c r="H76" i="1"/>
  <c r="M76" i="1"/>
  <c r="P76" i="1"/>
  <c r="J76" i="1"/>
  <c r="P77" i="1"/>
  <c r="J77" i="1"/>
  <c r="O77" i="1"/>
  <c r="N77" i="1"/>
  <c r="H77" i="1"/>
  <c r="M77" i="1"/>
  <c r="AH66" i="1"/>
  <c r="AI70" i="1"/>
  <c r="AB74" i="1"/>
  <c r="AD74" i="1"/>
  <c r="Z74" i="1"/>
  <c r="AC74" i="1"/>
  <c r="AI74" i="1"/>
  <c r="T77" i="1"/>
  <c r="S77" i="1"/>
  <c r="O69" i="1"/>
  <c r="M69" i="1"/>
  <c r="P69" i="1"/>
  <c r="AI69" i="1"/>
  <c r="AG69" i="1"/>
  <c r="AG72" i="1"/>
  <c r="AI72" i="1"/>
  <c r="AI73" i="1"/>
  <c r="AG73" i="1"/>
  <c r="AB77" i="1"/>
  <c r="AA77" i="1"/>
  <c r="W77" i="1"/>
  <c r="Y77" i="1" s="1"/>
  <c r="AD77" i="1"/>
  <c r="Z77" i="1"/>
  <c r="AC77" i="1"/>
  <c r="F76" i="1"/>
  <c r="T76" i="1"/>
  <c r="U77" i="1"/>
  <c r="AH76" i="1"/>
  <c r="S59" i="1"/>
  <c r="O59" i="1"/>
  <c r="H61" i="1"/>
  <c r="N61" i="1"/>
  <c r="M61" i="1"/>
  <c r="O61" i="1"/>
  <c r="J61" i="1"/>
  <c r="P61" i="1"/>
  <c r="AH60" i="1"/>
  <c r="AI60" i="1"/>
  <c r="AG60" i="1"/>
  <c r="W60" i="1"/>
  <c r="Y60" i="1" s="1"/>
  <c r="AA60" i="1"/>
  <c r="AB60" i="1"/>
  <c r="AC60" i="1"/>
  <c r="Z60" i="1"/>
  <c r="AD60" i="1"/>
  <c r="AS57" i="1"/>
  <c r="AT57" i="1"/>
  <c r="S60" i="1"/>
  <c r="T60" i="1"/>
  <c r="AH57" i="1"/>
  <c r="AG57" i="1"/>
  <c r="AI57" i="1"/>
  <c r="AB59" i="1"/>
  <c r="AC59" i="1"/>
  <c r="Z59" i="1"/>
  <c r="AD59" i="1"/>
  <c r="W59" i="1"/>
  <c r="Y59" i="1" s="1"/>
  <c r="AA59" i="1"/>
  <c r="O60" i="1"/>
  <c r="J60" i="1"/>
  <c r="P60" i="1"/>
  <c r="M60" i="1"/>
  <c r="H60" i="1"/>
  <c r="N60" i="1"/>
  <c r="AS60" i="1"/>
  <c r="AT60" i="1"/>
  <c r="T61" i="1"/>
  <c r="F61" i="1"/>
  <c r="U60" i="1"/>
  <c r="AT59" i="1"/>
  <c r="AH59" i="1"/>
  <c r="N59" i="1"/>
  <c r="H59" i="1"/>
  <c r="AB57" i="1"/>
  <c r="W57" i="1"/>
  <c r="Y57" i="1" s="1"/>
  <c r="AI56" i="1"/>
  <c r="AG56" i="1"/>
  <c r="X56" i="1"/>
  <c r="O56" i="1"/>
  <c r="M56" i="1"/>
  <c r="AG53" i="1"/>
  <c r="AI53" i="1"/>
  <c r="X53" i="1"/>
  <c r="AI52" i="1"/>
  <c r="AI51" i="1"/>
  <c r="AG51" i="1"/>
  <c r="X51" i="1"/>
  <c r="T49" i="1"/>
  <c r="S49" i="1"/>
  <c r="AI61" i="1"/>
  <c r="AG59" i="1"/>
  <c r="M59" i="1"/>
  <c r="AG52" i="1"/>
  <c r="J49" i="1"/>
  <c r="P49" i="1"/>
  <c r="M49" i="1"/>
  <c r="H49" i="1"/>
  <c r="N49" i="1"/>
  <c r="O49" i="1"/>
  <c r="P59" i="1"/>
  <c r="AT56" i="1"/>
  <c r="T56" i="1"/>
  <c r="J56" i="1"/>
  <c r="AI55" i="1"/>
  <c r="AB55" i="1"/>
  <c r="Z55" i="1"/>
  <c r="AD55" i="1"/>
  <c r="AT53" i="1"/>
  <c r="T53" i="1"/>
  <c r="AS52" i="1"/>
  <c r="AT51" i="1"/>
  <c r="T51" i="1"/>
  <c r="O50" i="1"/>
  <c r="J50" i="1"/>
  <c r="P50" i="1"/>
  <c r="M50" i="1"/>
  <c r="H50" i="1"/>
  <c r="N50" i="1"/>
  <c r="AS49" i="1"/>
  <c r="AT49" i="1"/>
  <c r="AG49" i="1"/>
  <c r="AH49" i="1"/>
  <c r="AI49" i="1"/>
  <c r="Z57" i="1"/>
  <c r="AD57" i="1"/>
  <c r="AB49" i="1"/>
  <c r="AC49" i="1"/>
  <c r="Z49" i="1"/>
  <c r="AD49" i="1"/>
  <c r="W49" i="1"/>
  <c r="Y49" i="1" s="1"/>
  <c r="AA49" i="1"/>
  <c r="X48" i="1"/>
  <c r="AG47" i="1"/>
  <c r="AA47" i="1"/>
  <c r="AD44" i="1"/>
  <c r="AG43" i="1"/>
  <c r="S43" i="1"/>
  <c r="AG42" i="1"/>
  <c r="AI42" i="1"/>
  <c r="J42" i="1"/>
  <c r="M42" i="1"/>
  <c r="N42" i="1"/>
  <c r="O42" i="1"/>
  <c r="S40" i="1"/>
  <c r="T40" i="1"/>
  <c r="O48" i="1"/>
  <c r="M48" i="1"/>
  <c r="AS47" i="1"/>
  <c r="AG46" i="1"/>
  <c r="AI46" i="1"/>
  <c r="AC46" i="1"/>
  <c r="Y46" i="1"/>
  <c r="AA46" i="1"/>
  <c r="Z45" i="1"/>
  <c r="AD45" i="1"/>
  <c r="AB45" i="1"/>
  <c r="AB44" i="1"/>
  <c r="AS43" i="1"/>
  <c r="J43" i="1"/>
  <c r="P43" i="1"/>
  <c r="N43" i="1"/>
  <c r="AG38" i="1"/>
  <c r="AH38" i="1"/>
  <c r="AI38" i="1"/>
  <c r="T38" i="1"/>
  <c r="S38" i="1"/>
  <c r="T50" i="1"/>
  <c r="F50" i="1"/>
  <c r="U49" i="1"/>
  <c r="AT48" i="1"/>
  <c r="N48" i="1"/>
  <c r="AD46" i="1"/>
  <c r="AA45" i="1"/>
  <c r="AT42" i="1"/>
  <c r="AC41" i="1"/>
  <c r="Z41" i="1"/>
  <c r="AD41" i="1"/>
  <c r="W41" i="1"/>
  <c r="Y41" i="1" s="1"/>
  <c r="AA41" i="1"/>
  <c r="AB41" i="1"/>
  <c r="M41" i="1"/>
  <c r="H41" i="1"/>
  <c r="N41" i="1"/>
  <c r="O41" i="1"/>
  <c r="J41" i="1"/>
  <c r="P41" i="1"/>
  <c r="AT40" i="1"/>
  <c r="AS40" i="1"/>
  <c r="AH40" i="1"/>
  <c r="AI40" i="1"/>
  <c r="AG40" i="1"/>
  <c r="AS38" i="1"/>
  <c r="AT38" i="1"/>
  <c r="J38" i="1"/>
  <c r="P38" i="1"/>
  <c r="M38" i="1"/>
  <c r="H38" i="1"/>
  <c r="N38" i="1"/>
  <c r="O38" i="1"/>
  <c r="AB47" i="1"/>
  <c r="Z47" i="1"/>
  <c r="AD47" i="1"/>
  <c r="AB46" i="1"/>
  <c r="AS45" i="1"/>
  <c r="AI44" i="1"/>
  <c r="AG44" i="1"/>
  <c r="Y44" i="1"/>
  <c r="AA44" i="1"/>
  <c r="AC44" i="1"/>
  <c r="Z40" i="1"/>
  <c r="AD40" i="1"/>
  <c r="W40" i="1"/>
  <c r="Y40" i="1" s="1"/>
  <c r="AA40" i="1"/>
  <c r="AB40" i="1"/>
  <c r="AC40" i="1"/>
  <c r="W39" i="1"/>
  <c r="Y39" i="1" s="1"/>
  <c r="AA39" i="1"/>
  <c r="AB39" i="1"/>
  <c r="AC39" i="1"/>
  <c r="Z39" i="1"/>
  <c r="AD39" i="1"/>
  <c r="T41" i="1"/>
  <c r="F41" i="1"/>
  <c r="U40" i="1"/>
  <c r="AT39" i="1"/>
  <c r="AH39" i="1"/>
  <c r="AS37" i="1"/>
  <c r="AT37" i="1"/>
  <c r="F37" i="1"/>
  <c r="Z38" i="1" l="1"/>
  <c r="W72" i="1"/>
  <c r="Y72" i="1" s="1"/>
  <c r="P53" i="1"/>
  <c r="O53" i="1"/>
  <c r="N53" i="1"/>
  <c r="H53" i="1"/>
  <c r="J53" i="1"/>
  <c r="Z72" i="1"/>
  <c r="AB72" i="1"/>
  <c r="AA72" i="1"/>
  <c r="Z66" i="1"/>
  <c r="AD66" i="1"/>
  <c r="AC72" i="1"/>
  <c r="M40" i="1"/>
  <c r="K40" i="1"/>
  <c r="L40" i="1"/>
  <c r="P72" i="1"/>
  <c r="K72" i="1"/>
  <c r="L72" i="1"/>
  <c r="AA65" i="1"/>
  <c r="K75" i="1"/>
  <c r="L75" i="1"/>
  <c r="AA66" i="1"/>
  <c r="H73" i="1"/>
  <c r="K73" i="1"/>
  <c r="L73" i="1"/>
  <c r="M70" i="1"/>
  <c r="K70" i="1"/>
  <c r="L70" i="1"/>
  <c r="AB66" i="1"/>
  <c r="M68" i="1"/>
  <c r="L68" i="1"/>
  <c r="K68" i="1"/>
  <c r="W66" i="1"/>
  <c r="Y66" i="1" s="1"/>
  <c r="H57" i="1"/>
  <c r="K57" i="1"/>
  <c r="L57" i="1"/>
  <c r="K53" i="1"/>
  <c r="L53" i="1"/>
  <c r="M51" i="1"/>
  <c r="K51" i="1"/>
  <c r="L51" i="1"/>
  <c r="H55" i="1"/>
  <c r="L55" i="1"/>
  <c r="K55" i="1"/>
  <c r="N52" i="1"/>
  <c r="K52" i="1"/>
  <c r="L52" i="1"/>
  <c r="N74" i="1"/>
  <c r="K74" i="1"/>
  <c r="L74" i="1"/>
  <c r="H40" i="1"/>
  <c r="O39" i="1"/>
  <c r="K39" i="1"/>
  <c r="L39" i="1"/>
  <c r="H52" i="1"/>
  <c r="O51" i="1"/>
  <c r="W61" i="1"/>
  <c r="Y61" i="1" s="1"/>
  <c r="AC70" i="1"/>
  <c r="W76" i="1"/>
  <c r="Y76" i="1" s="1"/>
  <c r="P52" i="1"/>
  <c r="J55" i="1"/>
  <c r="Z76" i="1"/>
  <c r="P74" i="1"/>
  <c r="AD68" i="1"/>
  <c r="N72" i="1"/>
  <c r="P40" i="1"/>
  <c r="AC76" i="1"/>
  <c r="N40" i="1"/>
  <c r="J52" i="1"/>
  <c r="N55" i="1"/>
  <c r="H74" i="1"/>
  <c r="AD76" i="1"/>
  <c r="J40" i="1"/>
  <c r="AB76" i="1"/>
  <c r="O72" i="1"/>
  <c r="AC69" i="1"/>
  <c r="O40" i="1"/>
  <c r="Z65" i="1"/>
  <c r="W65" i="1"/>
  <c r="Y65" i="1" s="1"/>
  <c r="AB38" i="1"/>
  <c r="AD38" i="1"/>
  <c r="AD50" i="1"/>
  <c r="AC65" i="1"/>
  <c r="W38" i="1"/>
  <c r="Y38" i="1" s="1"/>
  <c r="AA38" i="1"/>
  <c r="AA50" i="1"/>
  <c r="AB65" i="1"/>
  <c r="P39" i="1"/>
  <c r="AC73" i="1"/>
  <c r="H39" i="1"/>
  <c r="AA73" i="1"/>
  <c r="Y42" i="1"/>
  <c r="P57" i="1"/>
  <c r="W73" i="1"/>
  <c r="Y73" i="1" s="1"/>
  <c r="H70" i="1"/>
  <c r="M39" i="1"/>
  <c r="N39" i="1"/>
  <c r="O73" i="1"/>
  <c r="W68" i="1"/>
  <c r="Y68" i="1" s="1"/>
  <c r="AD52" i="1"/>
  <c r="Z50" i="1"/>
  <c r="W50" i="1"/>
  <c r="Y50" i="1" s="1"/>
  <c r="AC50" i="1"/>
  <c r="N70" i="1"/>
  <c r="AA52" i="1"/>
  <c r="AB61" i="1"/>
  <c r="AB52" i="1"/>
  <c r="W52" i="1"/>
  <c r="Y52" i="1" s="1"/>
  <c r="AD61" i="1"/>
  <c r="J70" i="1"/>
  <c r="H68" i="1"/>
  <c r="AC52" i="1"/>
  <c r="Z75" i="1"/>
  <c r="P70" i="1"/>
  <c r="O70" i="1"/>
  <c r="M72" i="1"/>
  <c r="J72" i="1"/>
  <c r="H72" i="1"/>
  <c r="Z42" i="1"/>
  <c r="J57" i="1"/>
  <c r="W69" i="1"/>
  <c r="Y69" i="1" s="1"/>
  <c r="Z70" i="1"/>
  <c r="Z69" i="1"/>
  <c r="AA68" i="1"/>
  <c r="N57" i="1"/>
  <c r="P73" i="1"/>
  <c r="AA69" i="1"/>
  <c r="AD70" i="1"/>
  <c r="AB68" i="1"/>
  <c r="AB69" i="1"/>
  <c r="AC42" i="1"/>
  <c r="M73" i="1"/>
  <c r="Z68" i="1"/>
  <c r="Z61" i="1"/>
  <c r="AC61" i="1"/>
  <c r="W75" i="1"/>
  <c r="Y75" i="1" s="1"/>
  <c r="AD75" i="1"/>
  <c r="P68" i="1"/>
  <c r="AB42" i="1"/>
  <c r="AD42" i="1"/>
  <c r="N73" i="1"/>
  <c r="J73" i="1"/>
  <c r="AA70" i="1"/>
  <c r="W70" i="1"/>
  <c r="Y70" i="1" s="1"/>
  <c r="M57" i="1"/>
  <c r="O57" i="1"/>
  <c r="AA75" i="1"/>
  <c r="J68" i="1"/>
  <c r="O68" i="1"/>
  <c r="M75" i="1"/>
  <c r="J75" i="1"/>
  <c r="P75" i="1"/>
  <c r="H75" i="1"/>
  <c r="N75" i="1"/>
  <c r="H51" i="1"/>
  <c r="N51" i="1"/>
  <c r="P51" i="1"/>
  <c r="J51" i="1"/>
  <c r="M55" i="1"/>
  <c r="O55" i="1"/>
  <c r="AC75" i="1"/>
  <c r="N68" i="1"/>
  <c r="M52" i="1"/>
  <c r="O52" i="1"/>
  <c r="M74" i="1"/>
  <c r="O74" i="1"/>
  <c r="AD73" i="1"/>
  <c r="AB73" i="1"/>
  <c r="W56" i="1"/>
  <c r="Y56" i="1" s="1"/>
  <c r="AA56" i="1"/>
  <c r="AC56" i="1"/>
  <c r="Z56" i="1"/>
  <c r="AB56" i="1"/>
  <c r="AD56" i="1"/>
  <c r="J47" i="1"/>
  <c r="P47" i="1"/>
  <c r="N47" i="1"/>
  <c r="M47" i="1"/>
  <c r="O47" i="1"/>
  <c r="W48" i="1"/>
  <c r="Y48" i="1" s="1"/>
  <c r="AC48" i="1"/>
  <c r="Z48" i="1"/>
  <c r="AD48" i="1"/>
  <c r="AA48" i="1"/>
  <c r="AB48" i="1"/>
  <c r="N45" i="1"/>
  <c r="J45" i="1"/>
  <c r="P45" i="1"/>
  <c r="M45" i="1"/>
  <c r="O45" i="1"/>
  <c r="W51" i="1"/>
  <c r="Y51" i="1" s="1"/>
  <c r="AA51" i="1"/>
  <c r="AC51" i="1"/>
  <c r="Z51" i="1"/>
  <c r="AB51" i="1"/>
  <c r="AD51" i="1"/>
  <c r="AC53" i="1"/>
  <c r="W53" i="1"/>
  <c r="Y53" i="1" s="1"/>
  <c r="AA53" i="1"/>
  <c r="Z53" i="1"/>
  <c r="AB53" i="1"/>
  <c r="AD53" i="1"/>
  <c r="AF19" i="1" l="1"/>
  <c r="AF18" i="1"/>
  <c r="AF17" i="1"/>
  <c r="AR17" i="1" l="1"/>
  <c r="AT17" i="1"/>
  <c r="AS17" i="1"/>
  <c r="AR18" i="1"/>
  <c r="AT18" i="1"/>
  <c r="AS18" i="1"/>
  <c r="AR19" i="1"/>
  <c r="AT19" i="1"/>
  <c r="AS19" i="1"/>
  <c r="AZ33" i="1"/>
  <c r="V33" i="1"/>
  <c r="T33" i="1"/>
  <c r="S33" i="1"/>
  <c r="R33" i="1"/>
  <c r="AZ32" i="1"/>
  <c r="V32" i="1"/>
  <c r="T32" i="1"/>
  <c r="S32" i="1"/>
  <c r="R32" i="1"/>
  <c r="T31" i="1"/>
  <c r="S31" i="1"/>
  <c r="T30" i="1"/>
  <c r="S30" i="1"/>
  <c r="T29" i="1"/>
  <c r="S29" i="1"/>
  <c r="T28" i="1"/>
  <c r="S28" i="1"/>
  <c r="D41" i="1" l="1"/>
  <c r="D42" i="1"/>
  <c r="D43" i="1"/>
  <c r="D44" i="1"/>
  <c r="D45" i="1"/>
  <c r="P37" i="1" l="1"/>
  <c r="O37" i="1"/>
  <c r="N37" i="1"/>
  <c r="M37" i="1"/>
  <c r="J37" i="1"/>
  <c r="H37" i="1"/>
  <c r="N12" i="1"/>
  <c r="N20" i="1"/>
  <c r="N21" i="1"/>
  <c r="O22" i="1"/>
  <c r="N23" i="1"/>
  <c r="J27" i="1"/>
  <c r="P11" i="1"/>
  <c r="P25" i="1" l="1"/>
  <c r="J25" i="1"/>
  <c r="O27" i="1"/>
  <c r="N27" i="1"/>
  <c r="P27" i="1"/>
  <c r="O25" i="1"/>
  <c r="N25" i="1"/>
  <c r="P24" i="1"/>
  <c r="J24" i="1"/>
  <c r="O24" i="1"/>
  <c r="N24" i="1"/>
  <c r="P23" i="1"/>
  <c r="J23" i="1"/>
  <c r="O23" i="1"/>
  <c r="N22" i="1"/>
  <c r="P22" i="1"/>
  <c r="J22" i="1"/>
  <c r="P21" i="1"/>
  <c r="J21" i="1"/>
  <c r="O21" i="1"/>
  <c r="P20" i="1"/>
  <c r="J20" i="1"/>
  <c r="O20" i="1"/>
  <c r="P19" i="1"/>
  <c r="J19" i="1"/>
  <c r="O19" i="1"/>
  <c r="N19" i="1"/>
  <c r="P18" i="1"/>
  <c r="J18" i="1"/>
  <c r="O18" i="1"/>
  <c r="N18" i="1"/>
  <c r="P17" i="1"/>
  <c r="J17" i="1"/>
  <c r="O17" i="1"/>
  <c r="N17" i="1"/>
  <c r="P15" i="1"/>
  <c r="J15" i="1"/>
  <c r="O15" i="1"/>
  <c r="N15" i="1"/>
  <c r="P14" i="1"/>
  <c r="J14" i="1"/>
  <c r="O14" i="1"/>
  <c r="N14" i="1"/>
  <c r="P13" i="1"/>
  <c r="J13" i="1"/>
  <c r="O13" i="1"/>
  <c r="N13" i="1"/>
  <c r="P12" i="1"/>
  <c r="J12" i="1"/>
  <c r="O12" i="1"/>
  <c r="O11" i="1"/>
  <c r="N11" i="1"/>
  <c r="J11" i="1"/>
  <c r="AH37" i="1" l="1"/>
  <c r="AH12" i="1"/>
  <c r="AH13" i="1"/>
  <c r="AH14" i="1"/>
  <c r="AH15" i="1"/>
  <c r="AH17" i="1"/>
  <c r="AH18" i="1"/>
  <c r="AH19" i="1"/>
  <c r="AH20" i="1"/>
  <c r="AH21" i="1"/>
  <c r="AH22" i="1"/>
  <c r="AH23" i="1"/>
  <c r="AH24" i="1"/>
  <c r="AH25" i="1"/>
  <c r="AH27" i="1"/>
  <c r="AH11" i="1"/>
  <c r="AG22" i="1" l="1"/>
  <c r="AI22" i="1"/>
  <c r="AG19" i="1"/>
  <c r="AI19" i="1"/>
  <c r="AG27" i="1"/>
  <c r="AI27" i="1"/>
  <c r="AG25" i="1"/>
  <c r="AI25" i="1"/>
  <c r="AG17" i="1"/>
  <c r="AI17" i="1"/>
  <c r="AG21" i="1"/>
  <c r="AI21" i="1"/>
  <c r="AI20" i="1"/>
  <c r="AG20" i="1"/>
  <c r="AG18" i="1"/>
  <c r="AI18" i="1"/>
  <c r="AG24" i="1"/>
  <c r="AI24" i="1"/>
  <c r="AG23" i="1"/>
  <c r="AI23" i="1"/>
  <c r="AI37" i="1"/>
  <c r="AG37" i="1"/>
  <c r="AG12" i="1"/>
  <c r="AI12" i="1"/>
  <c r="AG13" i="1"/>
  <c r="AI13" i="1"/>
  <c r="AG14" i="1"/>
  <c r="AI14" i="1"/>
  <c r="AG15" i="1"/>
  <c r="AI15" i="1"/>
  <c r="AI11" i="1"/>
  <c r="AG11" i="1"/>
  <c r="AA11" i="1"/>
  <c r="D59" i="1"/>
  <c r="AD37" i="1"/>
  <c r="AA37" i="1"/>
  <c r="AB37" i="1"/>
  <c r="AC37" i="1"/>
  <c r="Z37" i="1"/>
  <c r="D38" i="1"/>
  <c r="D39" i="1"/>
  <c r="D40" i="1"/>
  <c r="D46" i="1"/>
  <c r="D47" i="1"/>
  <c r="D48" i="1"/>
  <c r="D49" i="1"/>
  <c r="D50" i="1"/>
  <c r="D52" i="1"/>
  <c r="D53" i="1"/>
  <c r="D55" i="1"/>
  <c r="D56" i="1"/>
  <c r="D57" i="1"/>
  <c r="D60" i="1"/>
  <c r="D61" i="1"/>
  <c r="D37" i="1"/>
  <c r="D12" i="1"/>
  <c r="D13" i="1"/>
  <c r="D14" i="1"/>
  <c r="D15" i="1"/>
  <c r="D17" i="1"/>
  <c r="D18" i="1"/>
  <c r="D19" i="1"/>
  <c r="D20" i="1"/>
  <c r="D21" i="1"/>
  <c r="D22" i="1"/>
  <c r="D23" i="1"/>
  <c r="D24" i="1"/>
  <c r="D25" i="1"/>
  <c r="D27" i="1"/>
  <c r="D11" i="1"/>
  <c r="Z12" i="1"/>
  <c r="AB13" i="1"/>
  <c r="AD14" i="1"/>
  <c r="AD15" i="1"/>
  <c r="AA17" i="1"/>
  <c r="AD19" i="1"/>
  <c r="AB20" i="1"/>
  <c r="AC21" i="1"/>
  <c r="AD22" i="1"/>
  <c r="AA23" i="1"/>
  <c r="AA24" i="1"/>
  <c r="AA25" i="1"/>
  <c r="AA18" i="1"/>
  <c r="AC14" i="1" l="1"/>
  <c r="Z20" i="1"/>
  <c r="Z11" i="1"/>
  <c r="AD20" i="1"/>
  <c r="AD11" i="1"/>
  <c r="AB21" i="1"/>
  <c r="AB12" i="1"/>
  <c r="AA14" i="1"/>
  <c r="AD12" i="1"/>
  <c r="AB15" i="1"/>
  <c r="AA15" i="1"/>
  <c r="AC25" i="1"/>
  <c r="AB25" i="1"/>
  <c r="AC24" i="1"/>
  <c r="AB24" i="1"/>
  <c r="AD24" i="1"/>
  <c r="AD23" i="1"/>
  <c r="AB22" i="1"/>
  <c r="Z22" i="1"/>
  <c r="Z21" i="1"/>
  <c r="AD21" i="1"/>
  <c r="AC20" i="1"/>
  <c r="AB19" i="1"/>
  <c r="Z19" i="1"/>
  <c r="AC17" i="1"/>
  <c r="AD17" i="1"/>
  <c r="AC15" i="1"/>
  <c r="Z14" i="1"/>
  <c r="AB14" i="1"/>
  <c r="AB11" i="1"/>
  <c r="AD13" i="1"/>
  <c r="AA19" i="1"/>
  <c r="Z13" i="1"/>
  <c r="AC13" i="1"/>
  <c r="Z17" i="1"/>
  <c r="AA12" i="1"/>
  <c r="AB23" i="1"/>
  <c r="AC11" i="1"/>
  <c r="AC22" i="1"/>
  <c r="AA13" i="1"/>
  <c r="AC23" i="1"/>
  <c r="AC12" i="1"/>
  <c r="AB17" i="1"/>
  <c r="Z15" i="1"/>
  <c r="AC19" i="1"/>
  <c r="AD25" i="1"/>
  <c r="AD18" i="1"/>
  <c r="AB18" i="1"/>
  <c r="AC18" i="1"/>
  <c r="BA18" i="1" l="1"/>
  <c r="Q19" i="1" l="1"/>
  <c r="T19" i="1" s="1"/>
  <c r="Q17" i="1"/>
  <c r="T17" i="1" s="1"/>
  <c r="Q18" i="1"/>
  <c r="T18" i="1" s="1"/>
  <c r="Q16" i="1"/>
  <c r="S16" i="1" s="1"/>
  <c r="S17" i="1" l="1"/>
  <c r="T16" i="1"/>
  <c r="S18" i="1"/>
  <c r="S19" i="1"/>
  <c r="I16" i="1"/>
  <c r="N16" i="1" s="1"/>
  <c r="F16" i="1"/>
  <c r="G16" i="1" s="1"/>
  <c r="L16" i="1" l="1"/>
  <c r="M16" i="1"/>
  <c r="J16" i="1"/>
  <c r="O16" i="1"/>
  <c r="K16" i="1"/>
  <c r="P16" i="1"/>
  <c r="N26" i="1"/>
  <c r="P26" i="1"/>
  <c r="F26" i="1"/>
  <c r="G26" i="1" s="1"/>
  <c r="I26" i="1"/>
  <c r="M26" i="1" s="1"/>
  <c r="L26" i="1"/>
  <c r="O26" i="1" l="1"/>
  <c r="K26" i="1"/>
  <c r="J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4FFF897B-33D7-482D-ACEC-C663B02E8959}">
      <text>
        <r>
          <rPr>
            <b/>
            <sz val="9"/>
            <color indexed="81"/>
            <rFont val="Tahoma"/>
            <family val="2"/>
          </rPr>
          <t>Peet Kotzé:</t>
        </r>
        <r>
          <rPr>
            <sz val="9"/>
            <color indexed="81"/>
            <rFont val="Tahoma"/>
            <family val="2"/>
          </rPr>
          <t xml:space="preserve">
2017 - R 675 300
2018 - +15% (MPS)
2019 - + 12.5% (Ethiqal 10-15%)
2020 - + 12.5% (Ethiqal 10-15%)
2021 - + 7% (Estimate Market %)</t>
        </r>
      </text>
    </comment>
  </commentList>
</comments>
</file>

<file path=xl/sharedStrings.xml><?xml version="1.0" encoding="utf-8"?>
<sst xmlns="http://schemas.openxmlformats.org/spreadsheetml/2006/main" count="346" uniqueCount="228">
  <si>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</si>
  <si>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</si>
  <si>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</si>
  <si>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</si>
  <si>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</si>
  <si>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</si>
  <si>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</si>
  <si>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</si>
  <si>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</si>
  <si>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</si>
  <si>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</si>
  <si>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</si>
  <si>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</si>
  <si>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</si>
  <si>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</si>
  <si>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0190</t>
  </si>
  <si>
    <t>0191</t>
  </si>
  <si>
    <t>0192</t>
  </si>
  <si>
    <t>0173</t>
  </si>
  <si>
    <t>0174</t>
  </si>
  <si>
    <t>0175</t>
  </si>
  <si>
    <t>Hospital follow-up visit</t>
  </si>
  <si>
    <t>Procedures</t>
  </si>
  <si>
    <t>0130</t>
  </si>
  <si>
    <t>1206</t>
  </si>
  <si>
    <t>1210</t>
  </si>
  <si>
    <t>1205</t>
  </si>
  <si>
    <t>Telephone consultation (all hours)</t>
  </si>
  <si>
    <t>Intensive care: Category 3 (ICU): Cases with multiple organ failure or Category 2 patients which may require multidisciplinary intervention: Subsequent days (per involved practitioner)</t>
  </si>
  <si>
    <t>0133</t>
  </si>
  <si>
    <t>0733</t>
  </si>
  <si>
    <t>0735</t>
  </si>
  <si>
    <t>2717</t>
  </si>
  <si>
    <t>2711</t>
  </si>
  <si>
    <t>0713</t>
  </si>
  <si>
    <t>2712</t>
  </si>
  <si>
    <t>6010</t>
  </si>
  <si>
    <t>2707</t>
  </si>
  <si>
    <t>0730</t>
  </si>
  <si>
    <t>3284</t>
  </si>
  <si>
    <t>6011</t>
  </si>
  <si>
    <t>3285</t>
  </si>
  <si>
    <t>2692</t>
  </si>
  <si>
    <t>2682</t>
  </si>
  <si>
    <t>2800</t>
  </si>
  <si>
    <t>Electromyography</t>
  </si>
  <si>
    <t>Limb brain somatosensory studies (per limb)</t>
  </si>
  <si>
    <t>Motor nerve conduction studies (single nerve)</t>
  </si>
  <si>
    <t>Examinations of sensory nerve conduction by sweep averages (single nerve)</t>
  </si>
  <si>
    <t>Visual evoked potentials (VEP): Bilateral</t>
  </si>
  <si>
    <t>Short latency brainstem evoked potentials (AEP) neurological examination, single decibel: Bilateral</t>
  </si>
  <si>
    <t>Procedures for pain relief: Plexus nerve block</t>
  </si>
  <si>
    <t>Sensory nerve conduction studies</t>
  </si>
  <si>
    <t>Motor nerve conduction studies</t>
  </si>
  <si>
    <t>Carotid ultrasound vascular study: B mode, pulsed and colour Doppler; bilateral study, internal, external and common carotid flow and anatomy</t>
  </si>
  <si>
    <t>Electroenchephalogram monitoring: Monitoring for localisation of cerebral seizure focus using computerised sixteen or more channel EEG, which may include video recording (e.g. for pre-operative localisation): Each full 24 hour period</t>
  </si>
  <si>
    <t>Interpretation of item 6010: Electro-encephalogram monitoring: To be charged once only for each full 24 hour period of monitoring</t>
  </si>
  <si>
    <t>Writing of special motivations</t>
  </si>
  <si>
    <t>Hospital Consultation</t>
  </si>
  <si>
    <t>Consultation</t>
  </si>
  <si>
    <t>Units</t>
  </si>
  <si>
    <t>R</t>
  </si>
  <si>
    <t>5110*</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</si>
  <si>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</si>
  <si>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</si>
  <si>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</si>
  <si>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</si>
  <si>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</si>
  <si>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</si>
  <si>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</si>
  <si>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</si>
  <si>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</si>
  <si>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</si>
  <si>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</si>
  <si>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</si>
  <si>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</si>
  <si>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</si>
  <si>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1204</t>
  </si>
  <si>
    <t>Intensive care: Category 1 (High Care)</t>
  </si>
  <si>
    <t>Intensive care: Category 2 (ICU): Cases requiring active system support  First day</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</si>
  <si>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</si>
  <si>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</si>
  <si>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</si>
  <si>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</si>
  <si>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</si>
  <si>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</si>
  <si>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</si>
  <si>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HealthMan</t>
  </si>
  <si>
    <t>BankMed</t>
  </si>
  <si>
    <t>Bonitas</t>
  </si>
  <si>
    <t>Discovery</t>
  </si>
  <si>
    <t>FedHealth</t>
  </si>
  <si>
    <t>GEMS</t>
  </si>
  <si>
    <t>KeyHealth</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</si>
  <si>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</si>
  <si>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</si>
  <si>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</si>
  <si>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</si>
  <si>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</si>
  <si>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</si>
  <si>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</si>
  <si>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</si>
  <si>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</si>
  <si>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</si>
  <si>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</si>
  <si>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</si>
  <si>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</si>
  <si>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</si>
  <si>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</si>
  <si>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</si>
  <si>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</si>
  <si>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</si>
  <si>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</si>
  <si>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</si>
  <si>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</si>
  <si>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</si>
  <si>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</si>
  <si>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</si>
  <si>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t>99238</t>
  </si>
  <si>
    <t>Hospital discharge day Management; 30 Minutes or Less</t>
  </si>
  <si>
    <t>99239</t>
  </si>
  <si>
    <t>Hospital discharge day Management; more than 30 Minutes</t>
  </si>
  <si>
    <t>New &amp; Updated Procedures (Coding Changes)</t>
  </si>
  <si>
    <t>Spinal puncture: Lumbar, diagnostic</t>
  </si>
  <si>
    <t>Wada activation test for hemispheric function: Includes electroencephalographic (EEG) monitoring</t>
  </si>
  <si>
    <t>Electronic analysis: Implanted neurostimulator pulse generator system (eg., rate, pulse amplitude, pulse duration, configuration of wave form, battery status, electrode selectability, output modulation, cycling, impedance and patient compliance measurements), simple or complex brain/spinal cord/peripheral (ie., cranial nerve, peripheral nerve, sacral nerve, neuromuscular) neurostimulator pulse generator/transmitter, without reprogramming</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</si>
  <si>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First 60 minutes</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</si>
  <si>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Each additional 30 minutes after first 60 hour. ADD to primary procedure</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</si>
  <si>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</si>
  <si>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</si>
  <si>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</si>
  <si>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</si>
  <si>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</si>
  <si>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</si>
  <si>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</si>
  <si>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</si>
  <si>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</si>
  <si>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</si>
  <si>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</si>
  <si>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</si>
  <si>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</si>
  <si>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</si>
  <si>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</si>
  <si>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</si>
  <si>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</si>
  <si>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</si>
  <si>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</si>
  <si>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</si>
  <si>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</si>
  <si>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</si>
  <si>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</si>
  <si>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</si>
  <si>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</si>
  <si>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Bestmed</t>
  </si>
  <si>
    <t>Medihelp</t>
  </si>
  <si>
    <t>ProfMed</t>
  </si>
  <si>
    <t>HealthMan - Specialists</t>
  </si>
  <si>
    <t>HealthMan - Psychiatry</t>
  </si>
  <si>
    <t>HealthMan - GP</t>
  </si>
  <si>
    <t>COMPARATIVE TARIFFS</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</si>
  <si>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</si>
  <si>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</si>
  <si>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</si>
  <si>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</si>
  <si>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</si>
  <si>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</si>
  <si>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</si>
  <si>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</si>
  <si>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</si>
  <si>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</si>
  <si>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</si>
  <si>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</si>
  <si>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</si>
  <si>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</si>
  <si>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</si>
  <si>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</si>
  <si>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</si>
  <si>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</si>
  <si>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</si>
  <si>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</si>
  <si>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</si>
  <si>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Electro-encephalography: Clinical Interpretation (Professional Component)</t>
  </si>
  <si>
    <t>Electro-encephalography: Equipment Taking of record (Technical Component)</t>
  </si>
  <si>
    <t>Discontinued: Full fee for complete neurological evoked potential evaluation including neurological AEP, bilateral VEP, and bilateral median and/or posterior tibial stimulation</t>
  </si>
  <si>
    <t>Discontinued: Electromyography: First, see 0713</t>
  </si>
  <si>
    <t>Clinical Interpretation &amp; Report. Electroencephalogram (EEG): Monitoring; 41-60 minutes (Professional Component)</t>
  </si>
  <si>
    <t>Clinical Interpretation &amp; Report. Electroencephalogram (EEG): Monitoring; 61&gt; minutes (Professional Component)</t>
  </si>
  <si>
    <t>Discontinued: Electroencephalogram (EEG): Includes recording awake and drowsy (See 2711 and 2712)</t>
  </si>
  <si>
    <t>Combined Video and EEG (16-24 hours). Monitoring for localisation of cerebral seizure focus: Cable or radio, 16 or more channel telemetry, combined electroencephalographic (EEG). Includes video recording and interpretation (eg., for presurgical localisation), each 24 hours</t>
  </si>
  <si>
    <t>Functional cortical and subcortical mapping: Stimulation and/or recording of electrodes on brain surface or depth electrodes, to provoke seizures or identify vital brain structures; initial hour of attendance: First 60 minutes</t>
  </si>
  <si>
    <t>Functional cortical and subcortical mapping: Stimulation and/or recording of electrodes on brain surface or depth electrodes, to provoke seizures or identify vital brain structures: Each 60 minutes of attendance (ADD to item 6024 when appropriate)</t>
  </si>
  <si>
    <t>0193</t>
  </si>
  <si>
    <t>Clinical interpretation and report of item 6033: Electro-encephalogram (EEG): Overnight recording (8-16 hours) (Professional component)</t>
  </si>
  <si>
    <t>6033</t>
  </si>
  <si>
    <t>Electro-encephalogram (EEG): Overnight recording (8-16 hours): Taking of record. Equipment cost for taking of record (Technical component) (refer to item 6023 for interpretation and report)</t>
  </si>
  <si>
    <t>Overnight polysomnogram and sleep staging: Equipment hire</t>
  </si>
  <si>
    <t>F-waves (per nerve)</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</si>
  <si>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</si>
  <si>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</si>
  <si>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</si>
  <si>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</si>
  <si>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</si>
  <si>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</si>
  <si>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</si>
  <si>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</si>
  <si>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</si>
  <si>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</si>
  <si>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</si>
  <si>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</si>
  <si>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</si>
  <si>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</si>
  <si>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HEALTHMAN NEUROLOGY COSTING GUIDE 2022</t>
  </si>
  <si>
    <t>CAMAF Base Rate</t>
  </si>
  <si>
    <t>CAMAF RCF</t>
  </si>
  <si>
    <t>Network Base Rate</t>
  </si>
  <si>
    <t>Network
RCF</t>
  </si>
  <si>
    <t>Non-Contracted Base Rate</t>
  </si>
  <si>
    <t>Ethical 
Tariff</t>
  </si>
  <si>
    <t>Please refer to the Notes and Disclaimer on the Digital version of this document before use</t>
  </si>
  <si>
    <t xml:space="preserve">    Please note that many of the descriptors are shortened versions.  For the full descriptors please refer to the 2021/22 SAMA eMDCM.</t>
  </si>
  <si>
    <t xml:space="preserve">4. The HealthMan Rate increased by 6.0% (equal to our current assessment of medical inflation). </t>
  </si>
  <si>
    <t>5. GEMS</t>
  </si>
  <si>
    <t xml:space="preserve">5.1 Please familiarise yourself with the changes in GEMS  </t>
  </si>
  <si>
    <t>5.2 GEMS implemented a differential increase between Network and Non-Network base rates</t>
  </si>
  <si>
    <t>5.3 The Network rate increased with 4.4% and 4.15% compared to the Non-Network that increased only 3.9%.    </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</si>
  <si>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</si>
  <si>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</si>
  <si>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212. Please note the SAMA 2022 eMDCM has not yet been published as of 31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</si>
</sst>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00"/>
    <numFmt numFmtId="166" formatCode="[$R-1C09]\ #,##0.00"/>
    <numFmt numFmtId="167" formatCode="_ * #,##0.000_ ;_ * \-#,##0.000_ ;_ * &quot;-&quot;??_ ;_ @_ "/>
    <numFmt numFmtId="168" formatCode="_(* #,##0.000_);_(* \(#,##0.000\);_(* &quot;-&quot;??_);_(@_)"/>
  </numFmts>
  <fonts count="5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7030A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9"/>
      <color indexed="81"/>
      <name val="Tahoma"/>
      <family val="2"/>
    </font>
    <font>
      <sz val="9"/>
      <color indexed="81"/>
      <name val="Tahoma"/>
      <family val="2"/>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44">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7"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6" fillId="4" borderId="1" xfId="1" applyFont="1" applyFill="1" applyBorder="1" applyAlignment="1" applyProtection="1">
      <alignment horizontal="center" wrapText="1"/>
      <protection hidden="1"/>
    </xf>
    <xf numFmtId="167" fontId="6" fillId="4"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7" fontId="6" fillId="5" borderId="1" xfId="1" applyNumberFormat="1" applyFont="1" applyFill="1" applyBorder="1" applyAlignment="1" applyProtection="1">
      <alignment wrapText="1"/>
      <protection hidden="1"/>
    </xf>
    <xf numFmtId="164" fontId="6" fillId="5" borderId="1" xfId="1" applyFont="1" applyFill="1" applyBorder="1" applyAlignment="1" applyProtection="1">
      <alignment wrapText="1"/>
      <protection hidden="1"/>
    </xf>
    <xf numFmtId="167" fontId="6" fillId="5" borderId="1" xfId="1"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164" fontId="2" fillId="3" borderId="3" xfId="1" applyFont="1" applyFill="1" applyBorder="1" applyAlignment="1" applyProtection="1">
      <protection hidden="1"/>
    </xf>
    <xf numFmtId="0" fontId="2" fillId="3" borderId="7" xfId="0" applyFont="1" applyFill="1" applyBorder="1" applyAlignment="1" applyProtection="1">
      <protection hidden="1"/>
    </xf>
    <xf numFmtId="167" fontId="3" fillId="2" borderId="0" xfId="1" applyNumberFormat="1" applyFont="1" applyFill="1" applyBorder="1" applyProtection="1">
      <protection hidden="1"/>
    </xf>
    <xf numFmtId="164" fontId="3" fillId="2" borderId="0" xfId="1" applyFont="1" applyFill="1" applyBorder="1" applyProtection="1">
      <protection hidden="1"/>
    </xf>
    <xf numFmtId="166" fontId="3" fillId="2" borderId="0" xfId="0" applyNumberFormat="1" applyFont="1" applyFill="1" applyBorder="1" applyProtection="1">
      <protection hidden="1"/>
    </xf>
    <xf numFmtId="164" fontId="3" fillId="2" borderId="0" xfId="0" applyNumberFormat="1" applyFont="1" applyFill="1" applyBorder="1" applyProtection="1">
      <protection hidden="1"/>
    </xf>
    <xf numFmtId="2" fontId="3" fillId="2" borderId="0" xfId="0" applyNumberFormat="1" applyFont="1" applyFill="1" applyBorder="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9" fontId="6"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49" fontId="7"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wrapText="1"/>
      <protection hidden="1"/>
    </xf>
    <xf numFmtId="0" fontId="8" fillId="2" borderId="0" xfId="0" applyFont="1" applyFill="1" applyBorder="1" applyProtection="1">
      <protection hidden="1"/>
    </xf>
    <xf numFmtId="49" fontId="6"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6" fillId="3" borderId="3" xfId="1" applyFont="1" applyFill="1" applyBorder="1" applyProtection="1">
      <protection hidden="1"/>
    </xf>
    <xf numFmtId="9" fontId="6" fillId="3" borderId="3" xfId="0" applyNumberFormat="1" applyFont="1" applyFill="1" applyBorder="1" applyProtection="1">
      <protection hidden="1"/>
    </xf>
    <xf numFmtId="0" fontId="6" fillId="3" borderId="3"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NumberFormat="1" applyFont="1" applyFill="1" applyBorder="1" applyProtection="1">
      <protection hidden="1"/>
    </xf>
    <xf numFmtId="0" fontId="3" fillId="2" borderId="19" xfId="0" applyFont="1" applyFill="1" applyBorder="1" applyProtection="1">
      <protection hidden="1"/>
    </xf>
    <xf numFmtId="167" fontId="3" fillId="2" borderId="19" xfId="1" applyNumberFormat="1" applyFont="1" applyFill="1" applyBorder="1" applyProtection="1">
      <protection hidden="1"/>
    </xf>
    <xf numFmtId="164" fontId="3" fillId="2" borderId="19" xfId="1" applyFont="1" applyFill="1" applyBorder="1" applyProtection="1">
      <protection hidden="1"/>
    </xf>
    <xf numFmtId="166" fontId="6" fillId="2" borderId="19" xfId="0" applyNumberFormat="1" applyFont="1" applyFill="1" applyBorder="1" applyProtection="1">
      <protection hidden="1"/>
    </xf>
    <xf numFmtId="164" fontId="3" fillId="2" borderId="19" xfId="1" applyNumberFormat="1" applyFont="1" applyFill="1" applyBorder="1" applyProtection="1">
      <protection hidden="1"/>
    </xf>
    <xf numFmtId="0" fontId="6" fillId="2" borderId="19" xfId="0" applyFont="1" applyFill="1" applyBorder="1" applyProtection="1">
      <protection hidden="1"/>
    </xf>
    <xf numFmtId="164" fontId="6" fillId="2" borderId="19" xfId="1" applyFont="1" applyFill="1" applyBorder="1" applyProtection="1">
      <protection hidden="1"/>
    </xf>
    <xf numFmtId="167" fontId="3" fillId="6" borderId="19" xfId="1" applyNumberFormat="1" applyFont="1" applyFill="1" applyBorder="1" applyProtection="1">
      <protection hidden="1"/>
    </xf>
    <xf numFmtId="9" fontId="6" fillId="6" borderId="19" xfId="0" applyNumberFormat="1" applyFont="1" applyFill="1" applyBorder="1" applyProtection="1">
      <protection hidden="1"/>
    </xf>
    <xf numFmtId="0" fontId="6" fillId="6" borderId="19" xfId="0" applyFont="1" applyFill="1" applyBorder="1" applyProtection="1">
      <protection hidden="1"/>
    </xf>
    <xf numFmtId="164" fontId="3" fillId="6" borderId="19" xfId="1" applyFont="1" applyFill="1" applyBorder="1" applyProtection="1">
      <protection hidden="1"/>
    </xf>
    <xf numFmtId="49" fontId="10" fillId="2" borderId="9"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12" fillId="2" borderId="20" xfId="0" applyNumberFormat="1" applyFont="1" applyFill="1" applyBorder="1" applyProtection="1">
      <protection hidden="1"/>
    </xf>
    <xf numFmtId="0" fontId="12" fillId="2" borderId="20" xfId="0" applyFont="1" applyFill="1" applyBorder="1" applyProtection="1">
      <protection hidden="1"/>
    </xf>
    <xf numFmtId="167" fontId="6" fillId="2" borderId="20" xfId="1" applyNumberFormat="1" applyFont="1" applyFill="1" applyBorder="1" applyProtection="1">
      <protection hidden="1"/>
    </xf>
    <xf numFmtId="164" fontId="6" fillId="2" borderId="20" xfId="1" applyFont="1" applyFill="1" applyBorder="1" applyProtection="1">
      <protection hidden="1"/>
    </xf>
    <xf numFmtId="166" fontId="10" fillId="2" borderId="20" xfId="0" applyNumberFormat="1" applyFont="1" applyFill="1" applyBorder="1" applyProtection="1">
      <protection hidden="1"/>
    </xf>
    <xf numFmtId="167" fontId="12" fillId="2" borderId="20" xfId="1" applyNumberFormat="1" applyFont="1" applyFill="1" applyBorder="1" applyProtection="1">
      <protection hidden="1"/>
    </xf>
    <xf numFmtId="164" fontId="6" fillId="2" borderId="20" xfId="1" applyNumberFormat="1" applyFont="1" applyFill="1" applyBorder="1" applyProtection="1">
      <protection hidden="1"/>
    </xf>
    <xf numFmtId="165" fontId="6" fillId="2" borderId="20" xfId="0" applyNumberFormat="1" applyFont="1" applyFill="1" applyBorder="1" applyProtection="1">
      <protection hidden="1"/>
    </xf>
    <xf numFmtId="164" fontId="10" fillId="2" borderId="20" xfId="1" applyFont="1" applyFill="1" applyBorder="1" applyProtection="1">
      <protection hidden="1"/>
    </xf>
    <xf numFmtId="167" fontId="6" fillId="6" borderId="20" xfId="1" applyNumberFormat="1" applyFont="1" applyFill="1" applyBorder="1" applyProtection="1">
      <protection hidden="1"/>
    </xf>
    <xf numFmtId="9" fontId="10" fillId="6" borderId="20" xfId="0" applyNumberFormat="1" applyFont="1" applyFill="1" applyBorder="1" applyProtection="1">
      <protection hidden="1"/>
    </xf>
    <xf numFmtId="0" fontId="10" fillId="6" borderId="20" xfId="0" applyFont="1" applyFill="1" applyBorder="1" applyProtection="1">
      <protection hidden="1"/>
    </xf>
    <xf numFmtId="164" fontId="6" fillId="6" borderId="20" xfId="1" applyFont="1" applyFill="1" applyBorder="1" applyProtection="1">
      <protection hidden="1"/>
    </xf>
    <xf numFmtId="49" fontId="13" fillId="2" borderId="9" xfId="0" applyNumberFormat="1" applyFont="1" applyFill="1" applyBorder="1" applyProtection="1">
      <protection hidden="1"/>
    </xf>
    <xf numFmtId="0" fontId="6" fillId="2" borderId="17" xfId="0" applyFont="1" applyFill="1" applyBorder="1" applyAlignment="1" applyProtection="1">
      <alignment wrapText="1"/>
      <protection hidden="1"/>
    </xf>
    <xf numFmtId="0" fontId="6" fillId="2" borderId="20" xfId="1" applyNumberFormat="1" applyFont="1" applyFill="1" applyBorder="1" applyProtection="1">
      <protection hidden="1"/>
    </xf>
    <xf numFmtId="167" fontId="6" fillId="0" borderId="20" xfId="1" applyNumberFormat="1" applyFont="1" applyFill="1" applyBorder="1" applyProtection="1">
      <protection hidden="1"/>
    </xf>
    <xf numFmtId="164" fontId="6" fillId="0" borderId="20" xfId="1" applyFont="1" applyFill="1" applyBorder="1" applyProtection="1">
      <protection hidden="1"/>
    </xf>
    <xf numFmtId="0" fontId="6" fillId="2" borderId="0" xfId="0" applyFont="1" applyFill="1" applyBorder="1" applyProtection="1">
      <protection hidden="1"/>
    </xf>
    <xf numFmtId="49" fontId="6"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3" fillId="2" borderId="18" xfId="0" applyFont="1" applyFill="1" applyBorder="1" applyAlignment="1" applyProtection="1">
      <alignment wrapText="1"/>
      <protection hidden="1"/>
    </xf>
    <xf numFmtId="0" fontId="6" fillId="2" borderId="21" xfId="1" applyNumberFormat="1" applyFont="1" applyFill="1" applyBorder="1" applyProtection="1">
      <protection hidden="1"/>
    </xf>
    <xf numFmtId="164" fontId="6" fillId="2" borderId="21" xfId="1" applyFont="1" applyFill="1" applyBorder="1" applyProtection="1">
      <protection hidden="1"/>
    </xf>
    <xf numFmtId="167" fontId="6" fillId="2" borderId="21" xfId="1" applyNumberFormat="1" applyFont="1" applyFill="1" applyBorder="1" applyProtection="1">
      <protection hidden="1"/>
    </xf>
    <xf numFmtId="164" fontId="6" fillId="2" borderId="21" xfId="1" applyNumberFormat="1" applyFont="1" applyFill="1" applyBorder="1" applyProtection="1">
      <protection hidden="1"/>
    </xf>
    <xf numFmtId="167" fontId="6" fillId="6" borderId="21" xfId="1" applyNumberFormat="1" applyFont="1" applyFill="1" applyBorder="1" applyProtection="1">
      <protection hidden="1"/>
    </xf>
    <xf numFmtId="164" fontId="6" fillId="6" borderId="21" xfId="1" applyFont="1" applyFill="1" applyBorder="1" applyProtection="1">
      <protection hidden="1"/>
    </xf>
    <xf numFmtId="49" fontId="6" fillId="2" borderId="8" xfId="0" applyNumberFormat="1" applyFont="1" applyFill="1" applyBorder="1" applyProtection="1">
      <protection hidden="1"/>
    </xf>
    <xf numFmtId="0" fontId="15" fillId="2" borderId="16" xfId="0" applyFont="1" applyFill="1" applyBorder="1" applyAlignment="1" applyProtection="1">
      <alignment wrapText="1"/>
      <protection hidden="1"/>
    </xf>
    <xf numFmtId="0" fontId="13" fillId="2" borderId="19" xfId="0" applyNumberFormat="1" applyFont="1" applyFill="1" applyBorder="1" applyProtection="1">
      <protection hidden="1"/>
    </xf>
    <xf numFmtId="167" fontId="6" fillId="2" borderId="19" xfId="1" applyNumberFormat="1" applyFont="1" applyFill="1" applyBorder="1" applyProtection="1">
      <protection hidden="1"/>
    </xf>
    <xf numFmtId="164" fontId="6" fillId="2" borderId="19" xfId="1" applyNumberFormat="1" applyFont="1" applyFill="1" applyBorder="1" applyProtection="1">
      <protection hidden="1"/>
    </xf>
    <xf numFmtId="167" fontId="6" fillId="6" borderId="19" xfId="1" applyNumberFormat="1" applyFont="1" applyFill="1" applyBorder="1" applyProtection="1">
      <protection hidden="1"/>
    </xf>
    <xf numFmtId="164" fontId="6" fillId="6" borderId="19" xfId="1" applyFont="1" applyFill="1" applyBorder="1" applyProtection="1">
      <protection hidden="1"/>
    </xf>
    <xf numFmtId="49" fontId="6"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0" fontId="3" fillId="2" borderId="21" xfId="0" applyFont="1" applyFill="1" applyBorder="1" applyProtection="1">
      <protection hidden="1"/>
    </xf>
    <xf numFmtId="167" fontId="3" fillId="2" borderId="21" xfId="1" applyNumberFormat="1" applyFont="1" applyFill="1" applyBorder="1" applyProtection="1">
      <protection hidden="1"/>
    </xf>
    <xf numFmtId="164" fontId="3" fillId="2" borderId="21" xfId="1" applyFont="1" applyFill="1" applyBorder="1" applyProtection="1">
      <protection hidden="1"/>
    </xf>
    <xf numFmtId="164" fontId="3" fillId="2" borderId="21" xfId="0" applyNumberFormat="1" applyFont="1" applyFill="1" applyBorder="1" applyProtection="1">
      <protection hidden="1"/>
    </xf>
    <xf numFmtId="0" fontId="3" fillId="6" borderId="21" xfId="0" applyFont="1" applyFill="1" applyBorder="1" applyProtection="1">
      <protection hidden="1"/>
    </xf>
    <xf numFmtId="0" fontId="3" fillId="2" borderId="0" xfId="0" applyNumberFormat="1" applyFont="1" applyFill="1" applyBorder="1" applyProtection="1">
      <protection hidden="1"/>
    </xf>
    <xf numFmtId="49" fontId="6" fillId="0" borderId="9" xfId="0" applyNumberFormat="1" applyFont="1" applyFill="1" applyBorder="1" applyProtection="1">
      <protection hidden="1"/>
    </xf>
    <xf numFmtId="0" fontId="6" fillId="0" borderId="17" xfId="0" applyFont="1" applyFill="1" applyBorder="1" applyAlignment="1" applyProtection="1">
      <alignment wrapText="1"/>
      <protection hidden="1"/>
    </xf>
    <xf numFmtId="0" fontId="6" fillId="0" borderId="20" xfId="1" applyNumberFormat="1" applyFont="1" applyFill="1" applyBorder="1" applyProtection="1">
      <protection hidden="1"/>
    </xf>
    <xf numFmtId="0" fontId="5" fillId="3"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164" fontId="6" fillId="5" borderId="1" xfId="1" applyNumberFormat="1" applyFont="1" applyFill="1" applyBorder="1" applyAlignment="1" applyProtection="1">
      <alignment wrapText="1"/>
      <protection hidden="1"/>
    </xf>
    <xf numFmtId="164" fontId="7" fillId="4" borderId="25" xfId="1" applyFont="1" applyFill="1" applyBorder="1" applyAlignment="1" applyProtection="1">
      <alignment horizontal="center" wrapText="1"/>
      <protection hidden="1"/>
    </xf>
    <xf numFmtId="167" fontId="7" fillId="4" borderId="25" xfId="1" applyNumberFormat="1" applyFont="1" applyFill="1" applyBorder="1" applyAlignment="1" applyProtection="1">
      <alignment horizontal="center" wrapText="1"/>
      <protection hidden="1"/>
    </xf>
    <xf numFmtId="164" fontId="7" fillId="4" borderId="25" xfId="1" applyNumberFormat="1" applyFont="1" applyFill="1" applyBorder="1" applyAlignment="1" applyProtection="1">
      <alignment horizontal="center" wrapText="1"/>
      <protection hidden="1"/>
    </xf>
    <xf numFmtId="49" fontId="24" fillId="2" borderId="22" xfId="0" applyNumberFormat="1" applyFont="1" applyFill="1" applyBorder="1" applyProtection="1">
      <protection hidden="1"/>
    </xf>
    <xf numFmtId="0" fontId="24" fillId="2" borderId="23" xfId="0" applyFont="1" applyFill="1" applyBorder="1" applyAlignment="1" applyProtection="1">
      <alignment wrapText="1"/>
      <protection hidden="1"/>
    </xf>
    <xf numFmtId="164" fontId="24" fillId="2" borderId="24" xfId="1" applyFont="1" applyFill="1" applyBorder="1" applyProtection="1">
      <protection hidden="1"/>
    </xf>
    <xf numFmtId="164" fontId="24" fillId="6" borderId="24" xfId="1" applyFont="1" applyFill="1" applyBorder="1" applyProtection="1">
      <protection hidden="1"/>
    </xf>
    <xf numFmtId="164" fontId="24" fillId="6" borderId="24" xfId="1" applyFont="1" applyFill="1" applyBorder="1" applyAlignment="1" applyProtection="1">
      <alignment horizontal="center"/>
      <protection hidden="1"/>
    </xf>
    <xf numFmtId="167" fontId="24" fillId="2" borderId="24" xfId="1" applyNumberFormat="1" applyFont="1" applyFill="1" applyBorder="1" applyProtection="1">
      <protection hidden="1"/>
    </xf>
    <xf numFmtId="0" fontId="25" fillId="2" borderId="0" xfId="0" applyFont="1" applyFill="1" applyBorder="1" applyProtection="1">
      <protection hidden="1"/>
    </xf>
    <xf numFmtId="167" fontId="3" fillId="3" borderId="7" xfId="1" applyNumberFormat="1" applyFont="1" applyFill="1" applyBorder="1" applyProtection="1">
      <protection hidden="1"/>
    </xf>
    <xf numFmtId="164" fontId="13" fillId="2" borderId="19" xfId="1" applyFont="1" applyFill="1" applyBorder="1" applyProtection="1">
      <protection hidden="1"/>
    </xf>
    <xf numFmtId="164" fontId="10" fillId="6" borderId="19" xfId="1" applyFont="1" applyFill="1" applyBorder="1" applyProtection="1">
      <protection hidden="1"/>
    </xf>
    <xf numFmtId="164" fontId="10" fillId="2" borderId="19" xfId="1" applyFont="1" applyFill="1" applyBorder="1" applyProtection="1">
      <protection hidden="1"/>
    </xf>
    <xf numFmtId="49" fontId="6" fillId="2" borderId="17" xfId="0" applyNumberFormat="1" applyFont="1" applyFill="1" applyBorder="1" applyAlignment="1" applyProtection="1">
      <alignment wrapText="1"/>
      <protection hidden="1"/>
    </xf>
    <xf numFmtId="164" fontId="26" fillId="2" borderId="20" xfId="1" applyFont="1" applyFill="1" applyBorder="1" applyProtection="1">
      <protection hidden="1"/>
    </xf>
    <xf numFmtId="167" fontId="26" fillId="0" borderId="20" xfId="1" applyNumberFormat="1" applyFont="1" applyFill="1" applyBorder="1" applyProtection="1">
      <protection hidden="1"/>
    </xf>
    <xf numFmtId="164" fontId="26" fillId="6" borderId="20" xfId="1" applyFont="1" applyFill="1" applyBorder="1" applyProtection="1">
      <protection hidden="1"/>
    </xf>
    <xf numFmtId="49" fontId="6" fillId="2" borderId="22" xfId="0" applyNumberFormat="1" applyFont="1" applyFill="1" applyBorder="1" applyProtection="1">
      <protection hidden="1"/>
    </xf>
    <xf numFmtId="49" fontId="6" fillId="2" borderId="23" xfId="0" applyNumberFormat="1" applyFont="1" applyFill="1" applyBorder="1" applyAlignment="1" applyProtection="1">
      <alignment wrapText="1"/>
      <protection hidden="1"/>
    </xf>
    <xf numFmtId="164" fontId="6" fillId="2" borderId="24" xfId="1" applyFont="1" applyFill="1" applyBorder="1" applyProtection="1">
      <protection hidden="1"/>
    </xf>
    <xf numFmtId="167" fontId="27" fillId="0" borderId="24" xfId="1" applyNumberFormat="1" applyFont="1" applyFill="1" applyBorder="1" applyProtection="1">
      <protection hidden="1"/>
    </xf>
    <xf numFmtId="164" fontId="27" fillId="0" borderId="24" xfId="1" applyFont="1" applyFill="1" applyBorder="1" applyProtection="1">
      <protection hidden="1"/>
    </xf>
    <xf numFmtId="164" fontId="26" fillId="2" borderId="24" xfId="1" applyFont="1" applyFill="1" applyBorder="1" applyProtection="1">
      <protection hidden="1"/>
    </xf>
    <xf numFmtId="167" fontId="26" fillId="0" borderId="24" xfId="1" applyNumberFormat="1" applyFont="1" applyFill="1" applyBorder="1" applyProtection="1">
      <protection hidden="1"/>
    </xf>
    <xf numFmtId="164" fontId="26" fillId="6" borderId="24" xfId="1" applyFont="1" applyFill="1" applyBorder="1" applyProtection="1">
      <protection hidden="1"/>
    </xf>
    <xf numFmtId="167" fontId="6" fillId="2" borderId="24" xfId="1" applyNumberFormat="1" applyFont="1" applyFill="1" applyBorder="1" applyProtection="1">
      <protection hidden="1"/>
    </xf>
    <xf numFmtId="49" fontId="6" fillId="2" borderId="26" xfId="0" applyNumberFormat="1" applyFont="1" applyFill="1" applyBorder="1" applyProtection="1">
      <protection hidden="1"/>
    </xf>
    <xf numFmtId="164" fontId="13" fillId="2" borderId="28" xfId="1" applyFont="1" applyFill="1" applyBorder="1" applyProtection="1">
      <protection hidden="1"/>
    </xf>
    <xf numFmtId="0" fontId="13" fillId="2" borderId="27" xfId="0" applyFont="1" applyFill="1" applyBorder="1" applyAlignment="1" applyProtection="1">
      <alignment wrapText="1"/>
      <protection hidden="1"/>
    </xf>
    <xf numFmtId="49" fontId="30" fillId="2" borderId="22" xfId="0" applyNumberFormat="1" applyFont="1" applyFill="1" applyBorder="1" applyProtection="1">
      <protection hidden="1"/>
    </xf>
    <xf numFmtId="0" fontId="30"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6" xfId="0" applyFont="1" applyFill="1" applyBorder="1" applyAlignment="1" applyProtection="1">
      <alignment horizontal="left"/>
      <protection hidden="1"/>
    </xf>
    <xf numFmtId="164" fontId="34" fillId="2" borderId="0" xfId="1" applyFont="1" applyFill="1" applyBorder="1" applyAlignment="1" applyProtection="1">
      <alignment wrapText="1"/>
      <protection hidden="1"/>
    </xf>
    <xf numFmtId="167" fontId="34" fillId="2" borderId="0" xfId="1" applyNumberFormat="1" applyFont="1" applyFill="1" applyBorder="1" applyAlignment="1" applyProtection="1">
      <alignment wrapText="1"/>
      <protection hidden="1"/>
    </xf>
    <xf numFmtId="167" fontId="34" fillId="2" borderId="4"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7" fontId="3" fillId="2" borderId="5" xfId="1" applyNumberFormat="1" applyFont="1" applyFill="1" applyBorder="1" applyProtection="1">
      <protection hidden="1"/>
    </xf>
    <xf numFmtId="164" fontId="3" fillId="2" borderId="5" xfId="1" applyNumberFormat="1" applyFont="1" applyFill="1" applyBorder="1" applyProtection="1">
      <protection hidden="1"/>
    </xf>
    <xf numFmtId="167" fontId="3" fillId="2" borderId="15" xfId="1" applyNumberFormat="1" applyFont="1" applyFill="1" applyBorder="1" applyProtection="1">
      <protection hidden="1"/>
    </xf>
    <xf numFmtId="0" fontId="5" fillId="3" borderId="14" xfId="0" applyFont="1" applyFill="1" applyBorder="1" applyAlignment="1" applyProtection="1">
      <protection hidden="1"/>
    </xf>
    <xf numFmtId="0" fontId="5" fillId="3" borderId="5" xfId="0" applyFont="1" applyFill="1" applyBorder="1" applyAlignment="1" applyProtection="1">
      <protection hidden="1"/>
    </xf>
    <xf numFmtId="164" fontId="5" fillId="3" borderId="5" xfId="1" applyFont="1" applyFill="1" applyBorder="1" applyAlignment="1" applyProtection="1">
      <protection hidden="1"/>
    </xf>
    <xf numFmtId="164" fontId="5" fillId="3" borderId="5" xfId="1" applyNumberFormat="1" applyFont="1" applyFill="1" applyBorder="1" applyAlignment="1" applyProtection="1">
      <protection hidden="1"/>
    </xf>
    <xf numFmtId="167" fontId="5" fillId="3" borderId="5" xfId="1" applyNumberFormat="1" applyFont="1" applyFill="1" applyBorder="1" applyAlignment="1" applyProtection="1">
      <protection hidden="1"/>
    </xf>
    <xf numFmtId="0" fontId="5" fillId="3" borderId="15" xfId="0" applyFont="1" applyFill="1" applyBorder="1" applyAlignment="1" applyProtection="1">
      <protection hidden="1"/>
    </xf>
    <xf numFmtId="164" fontId="36" fillId="2" borderId="20" xfId="1" applyFont="1" applyFill="1" applyBorder="1" applyProtection="1">
      <protection hidden="1"/>
    </xf>
    <xf numFmtId="0" fontId="9" fillId="3" borderId="14" xfId="0" applyFont="1" applyFill="1" applyBorder="1" applyAlignment="1" applyProtection="1">
      <protection hidden="1"/>
    </xf>
    <xf numFmtId="0" fontId="9" fillId="3" borderId="5" xfId="0" applyFont="1" applyFill="1" applyBorder="1" applyAlignment="1" applyProtection="1">
      <protection hidden="1"/>
    </xf>
    <xf numFmtId="164" fontId="9" fillId="3" borderId="5" xfId="1" applyFont="1" applyFill="1" applyBorder="1" applyAlignment="1" applyProtection="1">
      <protection hidden="1"/>
    </xf>
    <xf numFmtId="164" fontId="9" fillId="3" borderId="5" xfId="1" applyNumberFormat="1" applyFont="1" applyFill="1" applyBorder="1" applyAlignment="1" applyProtection="1">
      <protection hidden="1"/>
    </xf>
    <xf numFmtId="167" fontId="9" fillId="3" borderId="5" xfId="1" applyNumberFormat="1" applyFont="1" applyFill="1" applyBorder="1" applyAlignment="1" applyProtection="1">
      <protection hidden="1"/>
    </xf>
    <xf numFmtId="0" fontId="9" fillId="3" borderId="15" xfId="0" applyFont="1" applyFill="1" applyBorder="1" applyAlignment="1" applyProtection="1">
      <protection hidden="1"/>
    </xf>
    <xf numFmtId="0" fontId="7" fillId="4" borderId="25" xfId="1" applyNumberFormat="1" applyFont="1" applyFill="1" applyBorder="1" applyAlignment="1" applyProtection="1">
      <alignment horizontal="center" wrapText="1"/>
      <protection hidden="1"/>
    </xf>
    <xf numFmtId="0" fontId="9" fillId="3" borderId="2" xfId="0" applyFont="1" applyFill="1" applyBorder="1" applyAlignment="1" applyProtection="1">
      <protection hidden="1"/>
    </xf>
    <xf numFmtId="0" fontId="9" fillId="3" borderId="3" xfId="0" applyFont="1" applyFill="1" applyBorder="1" applyAlignment="1" applyProtection="1">
      <protection hidden="1"/>
    </xf>
    <xf numFmtId="164" fontId="9" fillId="3" borderId="3" xfId="1" applyFont="1" applyFill="1" applyBorder="1" applyAlignment="1" applyProtection="1">
      <protection hidden="1"/>
    </xf>
    <xf numFmtId="164" fontId="9" fillId="3" borderId="3" xfId="1" applyNumberFormat="1" applyFont="1" applyFill="1" applyBorder="1" applyAlignment="1" applyProtection="1">
      <protection hidden="1"/>
    </xf>
    <xf numFmtId="167" fontId="9" fillId="3" borderId="3" xfId="1" applyNumberFormat="1" applyFont="1" applyFill="1" applyBorder="1" applyAlignment="1" applyProtection="1">
      <protection hidden="1"/>
    </xf>
    <xf numFmtId="0" fontId="9" fillId="3" borderId="7" xfId="0" applyFont="1" applyFill="1" applyBorder="1" applyAlignment="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8" fillId="7" borderId="1" xfId="1" applyNumberFormat="1" applyFont="1" applyFill="1" applyBorder="1" applyAlignment="1" applyProtection="1">
      <alignment horizontal="center"/>
      <protection hidden="1"/>
    </xf>
    <xf numFmtId="167" fontId="28" fillId="7" borderId="1" xfId="1" applyNumberFormat="1" applyFont="1" applyFill="1" applyBorder="1" applyProtection="1">
      <protection hidden="1"/>
    </xf>
    <xf numFmtId="167" fontId="28" fillId="7" borderId="1" xfId="1" applyNumberFormat="1" applyFont="1" applyFill="1" applyBorder="1" applyAlignment="1" applyProtection="1">
      <alignment horizontal="center" wrapText="1"/>
      <protection hidden="1"/>
    </xf>
    <xf numFmtId="167" fontId="28" fillId="0" borderId="1" xfId="1" applyNumberFormat="1" applyFont="1" applyFill="1" applyBorder="1" applyAlignment="1" applyProtection="1">
      <alignment horizontal="center"/>
      <protection hidden="1"/>
    </xf>
    <xf numFmtId="167" fontId="28" fillId="0" borderId="1" xfId="1" applyNumberFormat="1" applyFont="1" applyFill="1" applyBorder="1" applyProtection="1">
      <protection hidden="1"/>
    </xf>
    <xf numFmtId="167" fontId="28"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8" fillId="7" borderId="1" xfId="0" applyFont="1" applyFill="1" applyBorder="1" applyAlignment="1" applyProtection="1">
      <alignment horizontal="center"/>
      <protection hidden="1"/>
    </xf>
    <xf numFmtId="167" fontId="29" fillId="7" borderId="1" xfId="1" applyNumberFormat="1" applyFont="1" applyFill="1" applyBorder="1" applyProtection="1">
      <protection hidden="1"/>
    </xf>
    <xf numFmtId="167" fontId="29" fillId="0" borderId="1" xfId="1" applyNumberFormat="1" applyFont="1" applyFill="1" applyBorder="1" applyProtection="1">
      <protection hidden="1"/>
    </xf>
    <xf numFmtId="167" fontId="28" fillId="0" borderId="0" xfId="1" applyNumberFormat="1" applyFont="1" applyFill="1" applyAlignment="1" applyProtection="1">
      <alignment horizontal="center"/>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8" fillId="8" borderId="1" xfId="0" applyFont="1" applyFill="1" applyBorder="1" applyAlignment="1" applyProtection="1">
      <alignment horizontal="center"/>
      <protection hidden="1"/>
    </xf>
    <xf numFmtId="167" fontId="29"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8" fillId="8" borderId="0" xfId="0" applyFont="1" applyFill="1" applyAlignment="1" applyProtection="1">
      <alignment horizontal="center"/>
      <protection hidden="1"/>
    </xf>
    <xf numFmtId="167" fontId="28" fillId="8" borderId="0" xfId="1" applyNumberFormat="1" applyFont="1" applyFill="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wrapText="1"/>
      <protection hidden="1"/>
    </xf>
    <xf numFmtId="0" fontId="28"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9" fillId="7" borderId="1" xfId="1" applyNumberFormat="1" applyFont="1" applyFill="1" applyBorder="1" applyAlignment="1" applyProtection="1">
      <alignment wrapText="1"/>
      <protection hidden="1"/>
    </xf>
    <xf numFmtId="0" fontId="28" fillId="0" borderId="1" xfId="0" applyFont="1" applyBorder="1" applyAlignment="1" applyProtection="1">
      <alignment horizontal="center"/>
      <protection hidden="1"/>
    </xf>
    <xf numFmtId="167" fontId="37" fillId="10" borderId="1" xfId="1" applyNumberFormat="1" applyFont="1" applyFill="1" applyBorder="1" applyAlignment="1" applyProtection="1">
      <alignment wrapText="1"/>
      <protection hidden="1"/>
    </xf>
    <xf numFmtId="167" fontId="37" fillId="9" borderId="1" xfId="1" applyNumberFormat="1" applyFont="1" applyFill="1" applyBorder="1" applyAlignment="1" applyProtection="1">
      <alignment wrapText="1"/>
      <protection hidden="1"/>
    </xf>
    <xf numFmtId="167" fontId="28" fillId="8" borderId="1" xfId="1" applyNumberFormat="1" applyFont="1" applyFill="1" applyBorder="1" applyProtection="1">
      <protection hidden="1"/>
    </xf>
    <xf numFmtId="167" fontId="29" fillId="8" borderId="1" xfId="1" applyNumberFormat="1" applyFont="1" applyFill="1" applyBorder="1" applyAlignment="1" applyProtection="1">
      <alignment wrapText="1"/>
      <protection hidden="1"/>
    </xf>
    <xf numFmtId="167" fontId="28" fillId="8" borderId="0" xfId="1" applyNumberFormat="1" applyFont="1" applyFill="1" applyProtection="1">
      <protection hidden="1"/>
    </xf>
    <xf numFmtId="167" fontId="28"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8" fillId="0" borderId="0" xfId="0" applyFont="1" applyAlignment="1" applyProtection="1">
      <alignment horizontal="center"/>
      <protection hidden="1"/>
    </xf>
    <xf numFmtId="167" fontId="28" fillId="0" borderId="0" xfId="1" applyNumberFormat="1" applyFont="1" applyFill="1" applyProtection="1">
      <protection hidden="1"/>
    </xf>
    <xf numFmtId="167" fontId="28" fillId="0" borderId="0" xfId="1" applyNumberFormat="1" applyFont="1" applyFill="1" applyAlignment="1" applyProtection="1">
      <alignment horizontal="center" wrapText="1"/>
      <protection hidden="1"/>
    </xf>
    <xf numFmtId="49" fontId="26" fillId="2" borderId="9" xfId="0" applyNumberFormat="1" applyFont="1" applyFill="1" applyBorder="1" applyProtection="1">
      <protection hidden="1"/>
    </xf>
    <xf numFmtId="0" fontId="26" fillId="2" borderId="17" xfId="0" applyFont="1" applyFill="1" applyBorder="1" applyAlignment="1" applyProtection="1">
      <alignment wrapText="1"/>
      <protection hidden="1"/>
    </xf>
    <xf numFmtId="0" fontId="26" fillId="2" borderId="20" xfId="1" applyNumberFormat="1" applyFont="1" applyFill="1" applyBorder="1" applyProtection="1">
      <protection hidden="1"/>
    </xf>
    <xf numFmtId="164" fontId="26" fillId="0" borderId="20" xfId="1" applyFont="1" applyFill="1" applyBorder="1" applyProtection="1">
      <protection hidden="1"/>
    </xf>
    <xf numFmtId="167" fontId="26" fillId="2" borderId="20" xfId="1" applyNumberFormat="1" applyFont="1" applyFill="1" applyBorder="1" applyProtection="1">
      <protection hidden="1"/>
    </xf>
    <xf numFmtId="0" fontId="26" fillId="2" borderId="0" xfId="0" applyFont="1" applyFill="1" applyBorder="1" applyProtection="1">
      <protection hidden="1"/>
    </xf>
    <xf numFmtId="0" fontId="17" fillId="2" borderId="13" xfId="0" applyFont="1" applyFill="1" applyBorder="1" applyProtection="1">
      <protection hidden="1"/>
    </xf>
    <xf numFmtId="0" fontId="20" fillId="2" borderId="6"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8" fillId="2" borderId="6" xfId="0" applyFont="1" applyFill="1" applyBorder="1" applyProtection="1">
      <protection hidden="1"/>
    </xf>
    <xf numFmtId="0" fontId="18" fillId="2" borderId="6" xfId="0" applyFont="1" applyFill="1" applyBorder="1" applyProtection="1">
      <protection hidden="1"/>
    </xf>
    <xf numFmtId="0" fontId="19" fillId="2" borderId="0" xfId="0" applyFont="1" applyFill="1" applyAlignment="1" applyProtection="1">
      <alignment wrapText="1"/>
      <protection hidden="1"/>
    </xf>
    <xf numFmtId="0" fontId="32" fillId="2" borderId="6" xfId="0" applyFont="1" applyFill="1" applyBorder="1" applyProtection="1">
      <protection hidden="1"/>
    </xf>
    <xf numFmtId="0" fontId="35" fillId="2" borderId="6" xfId="0" applyFont="1" applyFill="1" applyBorder="1" applyProtection="1">
      <protection hidden="1"/>
    </xf>
    <xf numFmtId="0" fontId="34" fillId="2" borderId="0" xfId="0" applyFont="1" applyFill="1" applyAlignment="1" applyProtection="1">
      <alignment wrapText="1"/>
      <protection hidden="1"/>
    </xf>
    <xf numFmtId="0" fontId="33" fillId="2" borderId="6" xfId="0" applyFont="1" applyFill="1" applyBorder="1" applyProtection="1">
      <protection hidden="1"/>
    </xf>
    <xf numFmtId="0" fontId="20" fillId="4" borderId="6"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26" fillId="2" borderId="17" xfId="0" applyFont="1" applyFill="1" applyBorder="1" applyAlignment="1" applyProtection="1">
      <alignment horizontal="left" wrapText="1"/>
      <protection hidden="1"/>
    </xf>
    <xf numFmtId="0" fontId="6" fillId="2" borderId="17" xfId="0" applyFont="1" applyFill="1" applyBorder="1" applyAlignment="1" applyProtection="1">
      <alignment horizontal="left" wrapText="1"/>
      <protection hidden="1"/>
    </xf>
    <xf numFmtId="167" fontId="28" fillId="11" borderId="1" xfId="1" applyNumberFormat="1" applyFont="1" applyFill="1" applyBorder="1" applyAlignment="1" applyProtection="1">
      <alignment horizontal="center"/>
      <protection hidden="1"/>
    </xf>
    <xf numFmtId="168" fontId="28" fillId="0" borderId="1" xfId="1" applyNumberFormat="1" applyFont="1" applyBorder="1" applyAlignment="1" applyProtection="1">
      <alignment horizontal="center"/>
      <protection hidden="1"/>
    </xf>
    <xf numFmtId="164" fontId="36" fillId="0" borderId="20" xfId="1" applyFont="1" applyFill="1" applyBorder="1" applyProtection="1">
      <protection hidden="1"/>
    </xf>
    <xf numFmtId="0" fontId="3" fillId="2" borderId="0" xfId="0" applyFont="1" applyFill="1" applyProtection="1">
      <protection hidden="1"/>
    </xf>
    <xf numFmtId="0" fontId="41" fillId="2" borderId="6" xfId="0" applyFont="1" applyFill="1" applyBorder="1" applyProtection="1">
      <protection hidden="1"/>
    </xf>
    <xf numFmtId="0" fontId="42" fillId="0" borderId="0" xfId="0" applyFont="1"/>
    <xf numFmtId="0" fontId="43" fillId="2" borderId="0" xfId="0" applyFont="1" applyFill="1"/>
    <xf numFmtId="0" fontId="42" fillId="2" borderId="0" xfId="0" applyFont="1" applyFill="1" applyAlignment="1">
      <alignment vertical="center"/>
    </xf>
    <xf numFmtId="0" fontId="43" fillId="0" borderId="0" xfId="0" applyFont="1"/>
    <xf numFmtId="0" fontId="44" fillId="0" borderId="0" xfId="0" applyFont="1"/>
    <xf numFmtId="0" fontId="34" fillId="2" borderId="0" xfId="0" applyFont="1" applyFill="1" applyProtection="1">
      <protection hidden="1"/>
    </xf>
    <xf numFmtId="0" fontId="43" fillId="0" borderId="0" xfId="0" applyFont="1" applyAlignment="1">
      <alignment vertical="center"/>
    </xf>
    <xf numFmtId="0" fontId="45" fillId="2" borderId="6" xfId="0" applyFont="1" applyFill="1" applyBorder="1" applyProtection="1">
      <protection hidden="1"/>
    </xf>
    <xf numFmtId="0" fontId="27" fillId="2" borderId="0" xfId="0" applyFont="1" applyFill="1" applyAlignment="1" applyProtection="1">
      <alignment wrapText="1"/>
      <protection hidden="1"/>
    </xf>
    <xf numFmtId="164" fontId="27" fillId="2" borderId="0" xfId="1" applyFont="1" applyFill="1" applyBorder="1" applyAlignment="1" applyProtection="1">
      <alignment wrapText="1"/>
      <protection hidden="1"/>
    </xf>
    <xf numFmtId="167" fontId="27" fillId="2" borderId="0" xfId="1" applyNumberFormat="1" applyFont="1" applyFill="1" applyBorder="1" applyAlignment="1" applyProtection="1">
      <alignment wrapText="1"/>
      <protection hidden="1"/>
    </xf>
    <xf numFmtId="167" fontId="27" fillId="2" borderId="4" xfId="1" applyNumberFormat="1" applyFont="1" applyFill="1" applyBorder="1" applyAlignment="1" applyProtection="1">
      <alignment wrapText="1"/>
      <protection hidden="1"/>
    </xf>
    <xf numFmtId="0" fontId="27" fillId="2" borderId="0" xfId="0" applyFont="1" applyFill="1" applyProtection="1">
      <protection hidden="1"/>
    </xf>
    <xf numFmtId="0" fontId="46" fillId="2" borderId="6" xfId="0" applyFont="1" applyFill="1" applyBorder="1" applyProtection="1">
      <protection hidden="1"/>
    </xf>
    <xf numFmtId="0" fontId="19" fillId="2" borderId="0" xfId="0" applyFont="1" applyFill="1" applyProtection="1">
      <protection hidden="1"/>
    </xf>
    <xf numFmtId="49" fontId="47" fillId="12" borderId="6" xfId="0" applyNumberFormat="1" applyFont="1" applyFill="1" applyBorder="1" applyProtection="1">
      <protection hidden="1"/>
    </xf>
    <xf numFmtId="0" fontId="48" fillId="12" borderId="0" xfId="0" applyFont="1" applyFill="1" applyProtection="1">
      <protection hidden="1"/>
    </xf>
    <xf numFmtId="167" fontId="48" fillId="12" borderId="0" xfId="1" applyNumberFormat="1" applyFont="1" applyFill="1" applyBorder="1" applyProtection="1">
      <protection hidden="1"/>
    </xf>
    <xf numFmtId="164" fontId="48" fillId="12" borderId="0" xfId="1" applyFont="1" applyFill="1" applyBorder="1" applyProtection="1">
      <protection hidden="1"/>
    </xf>
    <xf numFmtId="167" fontId="47" fillId="12" borderId="0" xfId="1" applyNumberFormat="1" applyFont="1" applyFill="1" applyBorder="1" applyProtection="1">
      <protection hidden="1"/>
    </xf>
    <xf numFmtId="166" fontId="48" fillId="12" borderId="0" xfId="0" applyNumberFormat="1" applyFont="1" applyFill="1" applyProtection="1">
      <protection hidden="1"/>
    </xf>
    <xf numFmtId="167" fontId="48" fillId="12" borderId="0" xfId="0" applyNumberFormat="1" applyFont="1" applyFill="1" applyProtection="1">
      <protection hidden="1"/>
    </xf>
    <xf numFmtId="164" fontId="47" fillId="12" borderId="0" xfId="1" applyFont="1" applyFill="1" applyBorder="1" applyProtection="1">
      <protection hidden="1"/>
    </xf>
    <xf numFmtId="167" fontId="47" fillId="12" borderId="4" xfId="1" applyNumberFormat="1" applyFont="1" applyFill="1" applyBorder="1" applyProtection="1">
      <protection hidden="1"/>
    </xf>
    <xf numFmtId="0" fontId="37" fillId="10" borderId="1" xfId="0" applyFont="1" applyFill="1" applyBorder="1" applyProtection="1">
      <protection hidden="1"/>
    </xf>
    <xf numFmtId="0" fontId="37" fillId="10" borderId="1" xfId="0" applyFont="1" applyFill="1" applyBorder="1" applyAlignment="1" applyProtection="1">
      <alignment horizontal="center"/>
      <protection hidden="1"/>
    </xf>
    <xf numFmtId="0" fontId="37" fillId="10" borderId="1" xfId="0" quotePrefix="1" applyFont="1" applyFill="1" applyBorder="1" applyAlignment="1" applyProtection="1">
      <alignment horizontal="center"/>
      <protection hidden="1"/>
    </xf>
    <xf numFmtId="167" fontId="37" fillId="10" borderId="1" xfId="1" applyNumberFormat="1" applyFont="1" applyFill="1" applyBorder="1" applyAlignment="1" applyProtection="1">
      <alignment horizontal="center" wrapText="1"/>
      <protection hidden="1"/>
    </xf>
    <xf numFmtId="167" fontId="37" fillId="10" borderId="1" xfId="1" applyNumberFormat="1" applyFont="1" applyFill="1" applyBorder="1" applyAlignment="1" applyProtection="1">
      <alignment horizontal="center"/>
      <protection hidden="1"/>
    </xf>
    <xf numFmtId="0" fontId="37" fillId="10" borderId="1" xfId="0" applyFont="1" applyFill="1" applyBorder="1" applyAlignment="1" applyProtection="1">
      <alignment wrapText="1"/>
      <protection hidden="1"/>
    </xf>
    <xf numFmtId="0" fontId="37" fillId="10" borderId="1" xfId="0" applyFont="1" applyFill="1" applyBorder="1" applyAlignment="1" applyProtection="1">
      <alignment horizontal="center" wrapText="1"/>
      <protection hidden="1"/>
    </xf>
    <xf numFmtId="0" fontId="37" fillId="10" borderId="1" xfId="0" quotePrefix="1" applyFont="1" applyFill="1" applyBorder="1" applyAlignment="1" applyProtection="1">
      <alignment horizontal="center" wrapText="1"/>
      <protection hidden="1"/>
    </xf>
    <xf numFmtId="167" fontId="37" fillId="10" borderId="1" xfId="1" applyNumberFormat="1" applyFont="1" applyFill="1" applyBorder="1" applyProtection="1">
      <protection hidden="1"/>
    </xf>
    <xf numFmtId="168" fontId="28" fillId="7" borderId="1" xfId="1" applyNumberFormat="1" applyFont="1" applyFill="1" applyBorder="1" applyAlignment="1" applyProtection="1">
      <alignment horizontal="center"/>
      <protection hidden="1"/>
    </xf>
    <xf numFmtId="168" fontId="28" fillId="0" borderId="1" xfId="1" applyNumberFormat="1" applyFont="1" applyFill="1" applyBorder="1" applyAlignment="1" applyProtection="1">
      <alignment horizontal="center"/>
      <protection hidden="1"/>
    </xf>
    <xf numFmtId="164" fontId="20" fillId="2" borderId="0" xfId="1" applyFont="1" applyFill="1" applyAlignment="1" applyProtection="1">
      <alignment wrapText="1"/>
      <protection hidden="1"/>
    </xf>
    <xf numFmtId="164" fontId="20" fillId="4" borderId="0" xfId="1" applyFont="1" applyFill="1" applyAlignment="1" applyProtection="1">
      <alignment wrapText="1"/>
      <protection hidden="1"/>
    </xf>
    <xf numFmtId="0" fontId="49" fillId="10" borderId="13" xfId="0" applyFont="1" applyFill="1" applyBorder="1" applyProtection="1">
      <protection hidden="1"/>
    </xf>
    <xf numFmtId="0" fontId="48" fillId="10" borderId="11" xfId="0" applyFont="1" applyFill="1" applyBorder="1" applyAlignment="1" applyProtection="1">
      <alignment wrapText="1"/>
      <protection hidden="1"/>
    </xf>
    <xf numFmtId="0" fontId="48" fillId="10" borderId="11" xfId="1" applyNumberFormat="1" applyFont="1" applyFill="1" applyBorder="1" applyAlignment="1" applyProtection="1">
      <alignment wrapText="1"/>
      <protection hidden="1"/>
    </xf>
    <xf numFmtId="164" fontId="48" fillId="10" borderId="11" xfId="1" applyFont="1" applyFill="1" applyBorder="1" applyAlignment="1" applyProtection="1">
      <alignment wrapText="1"/>
      <protection hidden="1"/>
    </xf>
    <xf numFmtId="167" fontId="48" fillId="10" borderId="11" xfId="1" applyNumberFormat="1" applyFont="1" applyFill="1" applyBorder="1" applyAlignment="1" applyProtection="1">
      <alignment wrapText="1"/>
      <protection hidden="1"/>
    </xf>
    <xf numFmtId="167" fontId="48" fillId="10" borderId="12" xfId="1" applyNumberFormat="1" applyFont="1" applyFill="1" applyBorder="1" applyAlignment="1" applyProtection="1">
      <alignment wrapText="1"/>
      <protection hidden="1"/>
    </xf>
    <xf numFmtId="0" fontId="50" fillId="10" borderId="6" xfId="0" applyFont="1" applyFill="1" applyBorder="1" applyProtection="1">
      <protection hidden="1"/>
    </xf>
    <xf numFmtId="0" fontId="50" fillId="10" borderId="0" xfId="0" applyFont="1" applyFill="1" applyAlignment="1" applyProtection="1">
      <alignment wrapText="1"/>
      <protection hidden="1"/>
    </xf>
    <xf numFmtId="164" fontId="50" fillId="10" borderId="0" xfId="1" applyFont="1" applyFill="1" applyBorder="1" applyAlignment="1" applyProtection="1">
      <alignment wrapText="1"/>
      <protection hidden="1"/>
    </xf>
    <xf numFmtId="164" fontId="50" fillId="10" borderId="0" xfId="0" applyNumberFormat="1" applyFont="1" applyFill="1" applyAlignment="1" applyProtection="1">
      <alignment wrapText="1"/>
      <protection hidden="1"/>
    </xf>
    <xf numFmtId="164" fontId="50" fillId="10" borderId="0" xfId="1" applyFont="1" applyFill="1" applyAlignment="1" applyProtection="1">
      <alignment wrapText="1"/>
      <protection hidden="1"/>
    </xf>
    <xf numFmtId="167" fontId="50" fillId="10" borderId="0" xfId="1" applyNumberFormat="1" applyFont="1" applyFill="1" applyBorder="1" applyAlignment="1" applyProtection="1">
      <alignment wrapText="1"/>
      <protection hidden="1"/>
    </xf>
    <xf numFmtId="0" fontId="50" fillId="10" borderId="4" xfId="0" applyFont="1" applyFill="1" applyBorder="1" applyAlignment="1" applyProtection="1">
      <alignment wrapText="1"/>
      <protection hidden="1"/>
    </xf>
    <xf numFmtId="0" fontId="48" fillId="10" borderId="6" xfId="0" applyFont="1" applyFill="1" applyBorder="1" applyProtection="1">
      <protection hidden="1"/>
    </xf>
    <xf numFmtId="0" fontId="48" fillId="10" borderId="0" xfId="0" applyFont="1" applyFill="1" applyAlignment="1" applyProtection="1">
      <alignment wrapText="1"/>
      <protection hidden="1"/>
    </xf>
    <xf numFmtId="0" fontId="48" fillId="10" borderId="0" xfId="1" applyNumberFormat="1" applyFont="1" applyFill="1" applyBorder="1" applyAlignment="1" applyProtection="1">
      <alignment wrapText="1"/>
      <protection hidden="1"/>
    </xf>
    <xf numFmtId="164" fontId="48" fillId="10" borderId="0" xfId="1" applyFont="1" applyFill="1" applyBorder="1" applyAlignment="1" applyProtection="1">
      <alignment wrapText="1"/>
      <protection hidden="1"/>
    </xf>
    <xf numFmtId="167" fontId="48" fillId="10" borderId="0" xfId="1" applyNumberFormat="1" applyFont="1" applyFill="1" applyBorder="1" applyAlignment="1" applyProtection="1">
      <alignment wrapText="1"/>
      <protection hidden="1"/>
    </xf>
    <xf numFmtId="167" fontId="48" fillId="10" borderId="4" xfId="1" applyNumberFormat="1" applyFont="1" applyFill="1" applyBorder="1" applyAlignment="1" applyProtection="1">
      <alignment wrapText="1"/>
      <protection hidden="1"/>
    </xf>
    <xf numFmtId="0" fontId="5" fillId="0" borderId="14" xfId="0" applyFont="1" applyFill="1" applyBorder="1" applyAlignment="1" applyProtection="1">
      <alignment horizontal="center"/>
      <protection hidden="1"/>
    </xf>
    <xf numFmtId="0" fontId="5" fillId="0" borderId="5" xfId="0" applyFont="1" applyFill="1" applyBorder="1" applyAlignment="1" applyProtection="1">
      <alignment horizontal="center"/>
      <protection hidden="1"/>
    </xf>
    <xf numFmtId="0" fontId="5" fillId="0" borderId="15" xfId="0" applyFont="1" applyFill="1" applyBorder="1" applyAlignment="1" applyProtection="1">
      <alignment horizontal="center"/>
      <protection hidden="1"/>
    </xf>
    <xf numFmtId="0" fontId="5" fillId="2" borderId="14"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164" fontId="5" fillId="2" borderId="14" xfId="1" applyFont="1" applyFill="1" applyBorder="1" applyAlignment="1" applyProtection="1">
      <alignment horizontal="center"/>
      <protection hidden="1"/>
    </xf>
    <xf numFmtId="164" fontId="5" fillId="2" borderId="5" xfId="1" applyFont="1" applyFill="1" applyBorder="1" applyAlignment="1" applyProtection="1">
      <alignment horizontal="center"/>
      <protection hidden="1"/>
    </xf>
    <xf numFmtId="164" fontId="5" fillId="2" borderId="15" xfId="1"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5" fillId="0" borderId="7"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2</xdr:col>
      <xdr:colOff>4768</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4"/>
  <sheetViews>
    <sheetView tabSelected="1" zoomScale="80" zoomScaleNormal="80" workbookViewId="0">
      <pane xSplit="3" ySplit="7" topLeftCell="D98" activePane="bottomRight" state="frozen"/>
      <selection pane="topRight" activeCell="D1" sqref="D1"/>
      <selection pane="bottomLeft" activeCell="A8" sqref="A8"/>
      <selection pane="bottomRight" activeCell="E101" sqref="E101"/>
    </sheetView>
  </sheetViews>
  <sheetFormatPr defaultColWidth="9.140625" defaultRowHeight="12.75" x14ac:dyDescent="0.2"/>
  <cols>
    <col min="1" max="1" width="8.85546875" style="6" bestFit="1" customWidth="1"/>
    <col min="2" max="2" width="60.42578125" style="7" customWidth="1"/>
    <col min="3" max="3" width="11.7109375" style="134" bestFit="1" customWidth="1"/>
    <col min="4" max="4" width="10.5703125" style="6" bestFit="1" customWidth="1"/>
    <col min="5" max="5" width="10.85546875" style="44" bestFit="1" customWidth="1"/>
    <col min="6" max="6" width="10.7109375" style="45" customWidth="1"/>
    <col min="7" max="7" width="10.7109375" style="44" customWidth="1"/>
    <col min="8" max="8" width="10.7109375" style="45" customWidth="1"/>
    <col min="9" max="9" width="10.7109375" style="44" customWidth="1"/>
    <col min="10" max="12" width="11.85546875" style="44" customWidth="1"/>
    <col min="13" max="14" width="10.5703125" style="44" bestFit="1" customWidth="1"/>
    <col min="15" max="16" width="11.85546875" style="44" customWidth="1"/>
    <col min="17" max="17" width="10.140625" style="46" bestFit="1" customWidth="1"/>
    <col min="18" max="18" width="9.140625" style="44" customWidth="1"/>
    <col min="19" max="20" width="11.85546875" style="44" customWidth="1"/>
    <col min="21" max="21" width="10.140625" style="46" bestFit="1" customWidth="1"/>
    <col min="22" max="22" width="9.140625" style="44" customWidth="1"/>
    <col min="23" max="23" width="10.140625" style="46" bestFit="1" customWidth="1"/>
    <col min="24" max="24" width="9.140625" style="44" customWidth="1"/>
    <col min="25" max="25" width="9.42578125" style="6" bestFit="1" customWidth="1"/>
    <col min="26" max="26" width="10.5703125" style="6" bestFit="1" customWidth="1"/>
    <col min="27" max="27" width="11.28515625" style="6" bestFit="1" customWidth="1"/>
    <col min="28" max="29" width="10.5703125" style="6" bestFit="1" customWidth="1"/>
    <col min="30" max="30" width="10.7109375" style="6" bestFit="1" customWidth="1"/>
    <col min="31" max="31" width="11.28515625" style="47" customWidth="1"/>
    <col min="32" max="32" width="10.42578125" style="48" bestFit="1" customWidth="1"/>
    <col min="33" max="34" width="10.5703125" style="48" bestFit="1" customWidth="1"/>
    <col min="35" max="35" width="10.7109375" style="48" hidden="1" customWidth="1"/>
    <col min="36" max="36" width="10.5703125" style="6" customWidth="1"/>
    <col min="37" max="37" width="10.42578125" style="48" customWidth="1"/>
    <col min="38" max="38" width="10.5703125" style="6" customWidth="1"/>
    <col min="39" max="39" width="10.85546875" style="48" customWidth="1"/>
    <col min="40" max="40" width="11.28515625" style="47" customWidth="1"/>
    <col min="41" max="41" width="10.42578125" style="48" bestFit="1" customWidth="1"/>
    <col min="42" max="42" width="10.5703125" style="48" bestFit="1" customWidth="1"/>
    <col min="43" max="43" width="11.28515625" style="47" customWidth="1"/>
    <col min="44" max="44" width="10.42578125" style="48" bestFit="1" customWidth="1"/>
    <col min="45" max="45" width="10.28515625" style="48" bestFit="1" customWidth="1"/>
    <col min="46" max="46" width="10.5703125" style="48" bestFit="1" customWidth="1"/>
    <col min="47" max="47" width="11.28515625" style="47" customWidth="1"/>
    <col min="48" max="48" width="10.42578125" style="48" bestFit="1" customWidth="1"/>
    <col min="49" max="49" width="10.42578125" style="45" customWidth="1"/>
    <col min="50" max="50" width="10.42578125" style="48" customWidth="1"/>
    <col min="51" max="51" width="11.28515625" style="47" customWidth="1"/>
    <col min="52" max="52" width="10.42578125" style="48" bestFit="1" customWidth="1"/>
    <col min="53" max="53" width="11.7109375" style="44" customWidth="1"/>
    <col min="54" max="54" width="11.85546875" style="44" customWidth="1"/>
    <col min="55" max="16384" width="9.140625" style="6"/>
  </cols>
  <sheetData>
    <row r="1" spans="1:54" ht="23.25" x14ac:dyDescent="0.35">
      <c r="A1" s="40" t="s">
        <v>211</v>
      </c>
      <c r="B1" s="41"/>
      <c r="C1" s="41"/>
      <c r="D1" s="41"/>
      <c r="E1" s="41"/>
      <c r="F1" s="42"/>
      <c r="G1" s="41"/>
      <c r="H1" s="42"/>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2"/>
      <c r="AX1" s="41"/>
      <c r="AY1" s="41"/>
      <c r="AZ1" s="41"/>
      <c r="BA1" s="41"/>
      <c r="BB1" s="43"/>
    </row>
    <row r="2" spans="1:54" x14ac:dyDescent="0.2">
      <c r="A2" s="182"/>
      <c r="B2" s="183"/>
      <c r="C2" s="184"/>
      <c r="D2" s="185"/>
      <c r="E2" s="186"/>
      <c r="F2" s="185"/>
      <c r="G2" s="186"/>
      <c r="H2" s="185"/>
      <c r="I2" s="186"/>
      <c r="J2" s="186"/>
      <c r="K2" s="186"/>
      <c r="L2" s="186"/>
      <c r="M2" s="186"/>
      <c r="N2" s="186"/>
      <c r="O2" s="186"/>
      <c r="P2" s="186"/>
      <c r="Q2" s="185"/>
      <c r="R2" s="186"/>
      <c r="S2" s="186"/>
      <c r="T2" s="186"/>
      <c r="U2" s="185"/>
      <c r="V2" s="186"/>
      <c r="W2" s="185"/>
      <c r="X2" s="186"/>
      <c r="Y2" s="185"/>
      <c r="Z2" s="185"/>
      <c r="AA2" s="185"/>
      <c r="AB2" s="185"/>
      <c r="AC2" s="185"/>
      <c r="AD2" s="185"/>
      <c r="AE2" s="187"/>
      <c r="AF2" s="186"/>
      <c r="AG2" s="186"/>
      <c r="AH2" s="186"/>
      <c r="AI2" s="186"/>
      <c r="AJ2" s="185"/>
      <c r="AK2" s="186"/>
      <c r="AL2" s="185"/>
      <c r="AM2" s="186"/>
      <c r="AN2" s="185"/>
      <c r="AO2" s="186"/>
      <c r="AP2" s="186"/>
      <c r="AQ2" s="185"/>
      <c r="AR2" s="186"/>
      <c r="AS2" s="186"/>
      <c r="AT2" s="186"/>
      <c r="AU2" s="185"/>
      <c r="AV2" s="186"/>
      <c r="AW2" s="185"/>
      <c r="AX2" s="186"/>
      <c r="AY2" s="185"/>
      <c r="AZ2" s="186"/>
      <c r="BA2" s="186"/>
      <c r="BB2" s="188"/>
    </row>
    <row r="3" spans="1:54" ht="15.75" x14ac:dyDescent="0.25">
      <c r="A3" s="189" t="s">
        <v>159</v>
      </c>
      <c r="B3" s="190"/>
      <c r="C3" s="190"/>
      <c r="D3" s="190"/>
      <c r="E3" s="190"/>
      <c r="F3" s="191"/>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2"/>
      <c r="AO3" s="190"/>
      <c r="AP3" s="190"/>
      <c r="AQ3" s="191"/>
      <c r="AR3" s="190"/>
      <c r="AS3" s="190"/>
      <c r="AT3" s="190"/>
      <c r="AU3" s="191"/>
      <c r="AV3" s="190"/>
      <c r="AW3" s="191"/>
      <c r="AX3" s="190"/>
      <c r="AY3" s="191"/>
      <c r="AZ3" s="193"/>
      <c r="BA3" s="190"/>
      <c r="BB3" s="194"/>
    </row>
    <row r="4" spans="1:54" ht="15.75" x14ac:dyDescent="0.25">
      <c r="A4" s="49"/>
      <c r="B4" s="50"/>
      <c r="C4" s="138"/>
      <c r="D4" s="333" t="s">
        <v>87</v>
      </c>
      <c r="E4" s="335"/>
      <c r="F4" s="341" t="s">
        <v>88</v>
      </c>
      <c r="G4" s="342"/>
      <c r="H4" s="342"/>
      <c r="I4" s="342"/>
      <c r="J4" s="342"/>
      <c r="K4" s="342"/>
      <c r="L4" s="342"/>
      <c r="M4" s="342"/>
      <c r="N4" s="342"/>
      <c r="O4" s="342"/>
      <c r="P4" s="343"/>
      <c r="Q4" s="333" t="s">
        <v>89</v>
      </c>
      <c r="R4" s="334"/>
      <c r="S4" s="334"/>
      <c r="T4" s="335"/>
      <c r="U4" s="333" t="s">
        <v>90</v>
      </c>
      <c r="V4" s="334"/>
      <c r="W4" s="334"/>
      <c r="X4" s="334"/>
      <c r="Y4" s="334"/>
      <c r="Z4" s="334"/>
      <c r="AA4" s="334"/>
      <c r="AB4" s="334"/>
      <c r="AC4" s="334"/>
      <c r="AD4" s="335"/>
      <c r="AE4" s="333" t="s">
        <v>91</v>
      </c>
      <c r="AF4" s="334"/>
      <c r="AG4" s="334"/>
      <c r="AH4" s="334"/>
      <c r="AI4" s="335"/>
      <c r="AJ4" s="333" t="s">
        <v>92</v>
      </c>
      <c r="AK4" s="334"/>
      <c r="AL4" s="334"/>
      <c r="AM4" s="335"/>
      <c r="AN4" s="333" t="s">
        <v>93</v>
      </c>
      <c r="AO4" s="334"/>
      <c r="AP4" s="335"/>
      <c r="AQ4" s="336" t="s">
        <v>94</v>
      </c>
      <c r="AR4" s="337"/>
      <c r="AS4" s="337"/>
      <c r="AT4" s="337"/>
      <c r="AU4" s="338" t="s">
        <v>95</v>
      </c>
      <c r="AV4" s="339"/>
      <c r="AW4" s="339"/>
      <c r="AX4" s="339"/>
      <c r="AY4" s="339"/>
      <c r="AZ4" s="339"/>
      <c r="BA4" s="339"/>
      <c r="BB4" s="340"/>
    </row>
    <row r="5" spans="1:54" ht="84" customHeight="1" x14ac:dyDescent="0.2">
      <c r="A5" s="51" t="s">
        <v>0</v>
      </c>
      <c r="B5" s="52" t="s">
        <v>1</v>
      </c>
      <c r="C5" s="53" t="s">
        <v>2</v>
      </c>
      <c r="D5" s="28" t="s">
        <v>217</v>
      </c>
      <c r="E5" s="29" t="s">
        <v>96</v>
      </c>
      <c r="F5" s="28" t="s">
        <v>97</v>
      </c>
      <c r="G5" s="28" t="s">
        <v>98</v>
      </c>
      <c r="H5" s="28" t="s">
        <v>214</v>
      </c>
      <c r="I5" s="28" t="s">
        <v>215</v>
      </c>
      <c r="J5" s="29" t="s">
        <v>100</v>
      </c>
      <c r="K5" s="29" t="s">
        <v>100</v>
      </c>
      <c r="L5" s="29" t="s">
        <v>100</v>
      </c>
      <c r="M5" s="29" t="s">
        <v>100</v>
      </c>
      <c r="N5" s="29" t="s">
        <v>100</v>
      </c>
      <c r="O5" s="29" t="s">
        <v>100</v>
      </c>
      <c r="P5" s="29" t="s">
        <v>100</v>
      </c>
      <c r="Q5" s="28" t="s">
        <v>99</v>
      </c>
      <c r="R5" s="29" t="s">
        <v>96</v>
      </c>
      <c r="S5" s="29" t="s">
        <v>100</v>
      </c>
      <c r="T5" s="29" t="s">
        <v>100</v>
      </c>
      <c r="U5" s="28" t="s">
        <v>97</v>
      </c>
      <c r="V5" s="29" t="s">
        <v>98</v>
      </c>
      <c r="W5" s="28" t="s">
        <v>214</v>
      </c>
      <c r="X5" s="28" t="s">
        <v>215</v>
      </c>
      <c r="Y5" s="139" t="s">
        <v>101</v>
      </c>
      <c r="Z5" s="139" t="s">
        <v>102</v>
      </c>
      <c r="AA5" s="139" t="s">
        <v>103</v>
      </c>
      <c r="AB5" s="139" t="s">
        <v>104</v>
      </c>
      <c r="AC5" s="139" t="s">
        <v>105</v>
      </c>
      <c r="AD5" s="139" t="s">
        <v>106</v>
      </c>
      <c r="AE5" s="28" t="s">
        <v>107</v>
      </c>
      <c r="AF5" s="28" t="s">
        <v>96</v>
      </c>
      <c r="AG5" s="28" t="s">
        <v>100</v>
      </c>
      <c r="AH5" s="28" t="s">
        <v>100</v>
      </c>
      <c r="AI5" s="28" t="s">
        <v>100</v>
      </c>
      <c r="AJ5" s="28" t="s">
        <v>216</v>
      </c>
      <c r="AK5" s="28" t="s">
        <v>108</v>
      </c>
      <c r="AL5" s="28" t="s">
        <v>109</v>
      </c>
      <c r="AM5" s="28" t="s">
        <v>110</v>
      </c>
      <c r="AN5" s="28" t="s">
        <v>111</v>
      </c>
      <c r="AO5" s="29" t="s">
        <v>96</v>
      </c>
      <c r="AP5" s="29" t="s">
        <v>100</v>
      </c>
      <c r="AQ5" s="28" t="s">
        <v>109</v>
      </c>
      <c r="AR5" s="29" t="s">
        <v>96</v>
      </c>
      <c r="AS5" s="28" t="s">
        <v>112</v>
      </c>
      <c r="AT5" s="28" t="s">
        <v>112</v>
      </c>
      <c r="AU5" s="28" t="s">
        <v>113</v>
      </c>
      <c r="AV5" s="28" t="s">
        <v>114</v>
      </c>
      <c r="AW5" s="28" t="s">
        <v>212</v>
      </c>
      <c r="AX5" s="28" t="s">
        <v>213</v>
      </c>
      <c r="AY5" s="28" t="s">
        <v>115</v>
      </c>
      <c r="AZ5" s="29" t="s">
        <v>116</v>
      </c>
      <c r="BA5" s="28" t="s">
        <v>117</v>
      </c>
      <c r="BB5" s="29" t="s">
        <v>67</v>
      </c>
    </row>
    <row r="6" spans="1:54" ht="13.5" customHeight="1" x14ac:dyDescent="0.2">
      <c r="A6" s="54"/>
      <c r="B6" s="55"/>
      <c r="C6" s="56"/>
      <c r="D6" s="30"/>
      <c r="E6" s="31"/>
      <c r="F6" s="32"/>
      <c r="G6" s="31"/>
      <c r="H6" s="32"/>
      <c r="I6" s="31"/>
      <c r="J6" s="34">
        <v>1.1000000000000001</v>
      </c>
      <c r="K6" s="34">
        <v>1.37</v>
      </c>
      <c r="L6" s="34">
        <v>1.47</v>
      </c>
      <c r="M6" s="34">
        <v>1.62</v>
      </c>
      <c r="N6" s="34">
        <v>2</v>
      </c>
      <c r="O6" s="34">
        <v>2.15</v>
      </c>
      <c r="P6" s="34">
        <v>3</v>
      </c>
      <c r="Q6" s="32"/>
      <c r="R6" s="31"/>
      <c r="S6" s="34">
        <v>1.3</v>
      </c>
      <c r="T6" s="34">
        <v>1.5</v>
      </c>
      <c r="U6" s="30"/>
      <c r="V6" s="33"/>
      <c r="W6" s="30"/>
      <c r="X6" s="33"/>
      <c r="Y6" s="35">
        <v>1.1000000000000001</v>
      </c>
      <c r="Z6" s="35">
        <v>1.37</v>
      </c>
      <c r="AA6" s="35">
        <v>1.62</v>
      </c>
      <c r="AB6" s="35">
        <v>1.47</v>
      </c>
      <c r="AC6" s="35">
        <v>2.17</v>
      </c>
      <c r="AD6" s="35">
        <v>3</v>
      </c>
      <c r="AE6" s="30"/>
      <c r="AF6" s="30"/>
      <c r="AG6" s="34">
        <v>1.65</v>
      </c>
      <c r="AH6" s="34">
        <v>2.1</v>
      </c>
      <c r="AI6" s="34">
        <v>3</v>
      </c>
      <c r="AJ6" s="30"/>
      <c r="AK6" s="33"/>
      <c r="AL6" s="30"/>
      <c r="AM6" s="33"/>
      <c r="AN6" s="140"/>
      <c r="AO6" s="31"/>
      <c r="AP6" s="34">
        <v>1.5</v>
      </c>
      <c r="AQ6" s="30"/>
      <c r="AR6" s="30"/>
      <c r="AS6" s="34">
        <v>1.3</v>
      </c>
      <c r="AT6" s="34">
        <v>1.45</v>
      </c>
      <c r="AU6" s="30"/>
      <c r="AV6" s="30"/>
      <c r="AW6" s="30"/>
      <c r="AX6" s="30"/>
      <c r="AY6" s="30"/>
      <c r="AZ6" s="33"/>
      <c r="BA6" s="31"/>
      <c r="BB6" s="31"/>
    </row>
    <row r="7" spans="1:54" s="59" customFormat="1" ht="13.5" customHeight="1" x14ac:dyDescent="0.2">
      <c r="A7" s="57"/>
      <c r="B7" s="58"/>
      <c r="C7" s="202" t="s">
        <v>60</v>
      </c>
      <c r="D7" s="141" t="s">
        <v>61</v>
      </c>
      <c r="E7" s="142" t="s">
        <v>61</v>
      </c>
      <c r="F7" s="141" t="s">
        <v>61</v>
      </c>
      <c r="G7" s="142" t="s">
        <v>61</v>
      </c>
      <c r="H7" s="142" t="s">
        <v>61</v>
      </c>
      <c r="I7" s="142" t="s">
        <v>61</v>
      </c>
      <c r="J7" s="142" t="s">
        <v>61</v>
      </c>
      <c r="K7" s="142" t="s">
        <v>61</v>
      </c>
      <c r="L7" s="142" t="s">
        <v>61</v>
      </c>
      <c r="M7" s="142" t="s">
        <v>61</v>
      </c>
      <c r="N7" s="142" t="s">
        <v>61</v>
      </c>
      <c r="O7" s="142" t="s">
        <v>61</v>
      </c>
      <c r="P7" s="142" t="s">
        <v>61</v>
      </c>
      <c r="Q7" s="142" t="s">
        <v>61</v>
      </c>
      <c r="R7" s="142" t="s">
        <v>61</v>
      </c>
      <c r="S7" s="142" t="s">
        <v>61</v>
      </c>
      <c r="T7" s="142" t="s">
        <v>61</v>
      </c>
      <c r="U7" s="142" t="s">
        <v>61</v>
      </c>
      <c r="V7" s="142" t="s">
        <v>61</v>
      </c>
      <c r="W7" s="142" t="s">
        <v>61</v>
      </c>
      <c r="X7" s="142" t="s">
        <v>61</v>
      </c>
      <c r="Y7" s="142" t="s">
        <v>61</v>
      </c>
      <c r="Z7" s="142" t="s">
        <v>61</v>
      </c>
      <c r="AA7" s="142" t="s">
        <v>61</v>
      </c>
      <c r="AB7" s="142" t="s">
        <v>61</v>
      </c>
      <c r="AC7" s="142" t="s">
        <v>61</v>
      </c>
      <c r="AD7" s="142" t="s">
        <v>61</v>
      </c>
      <c r="AE7" s="142" t="s">
        <v>61</v>
      </c>
      <c r="AF7" s="142" t="s">
        <v>61</v>
      </c>
      <c r="AG7" s="142" t="s">
        <v>61</v>
      </c>
      <c r="AH7" s="142" t="s">
        <v>61</v>
      </c>
      <c r="AI7" s="142" t="s">
        <v>61</v>
      </c>
      <c r="AJ7" s="142" t="s">
        <v>61</v>
      </c>
      <c r="AK7" s="142" t="s">
        <v>61</v>
      </c>
      <c r="AL7" s="142" t="s">
        <v>61</v>
      </c>
      <c r="AM7" s="142" t="s">
        <v>61</v>
      </c>
      <c r="AN7" s="143" t="s">
        <v>61</v>
      </c>
      <c r="AO7" s="142" t="s">
        <v>61</v>
      </c>
      <c r="AP7" s="142" t="s">
        <v>61</v>
      </c>
      <c r="AQ7" s="141" t="s">
        <v>61</v>
      </c>
      <c r="AR7" s="142" t="s">
        <v>61</v>
      </c>
      <c r="AS7" s="142" t="s">
        <v>61</v>
      </c>
      <c r="AT7" s="142" t="s">
        <v>61</v>
      </c>
      <c r="AU7" s="141" t="s">
        <v>61</v>
      </c>
      <c r="AV7" s="142" t="s">
        <v>61</v>
      </c>
      <c r="AW7" s="141" t="s">
        <v>61</v>
      </c>
      <c r="AX7" s="142" t="s">
        <v>61</v>
      </c>
      <c r="AY7" s="141" t="s">
        <v>61</v>
      </c>
      <c r="AZ7" s="142" t="s">
        <v>61</v>
      </c>
      <c r="BA7" s="142" t="s">
        <v>61</v>
      </c>
      <c r="BB7" s="142" t="s">
        <v>61</v>
      </c>
    </row>
    <row r="8" spans="1:54" x14ac:dyDescent="0.2">
      <c r="A8" s="203"/>
      <c r="B8" s="204" t="s">
        <v>3</v>
      </c>
      <c r="C8" s="204"/>
      <c r="D8" s="204"/>
      <c r="E8" s="204"/>
      <c r="F8" s="205"/>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6"/>
      <c r="AO8" s="204"/>
      <c r="AP8" s="204"/>
      <c r="AQ8" s="205"/>
      <c r="AR8" s="204"/>
      <c r="AS8" s="204"/>
      <c r="AT8" s="204"/>
      <c r="AU8" s="205"/>
      <c r="AV8" s="204"/>
      <c r="AW8" s="205"/>
      <c r="AX8" s="204"/>
      <c r="AY8" s="205"/>
      <c r="AZ8" s="207"/>
      <c r="BA8" s="204"/>
      <c r="BB8" s="208"/>
    </row>
    <row r="9" spans="1:54" x14ac:dyDescent="0.2">
      <c r="A9" s="69"/>
      <c r="B9" s="70"/>
      <c r="C9" s="71"/>
      <c r="D9" s="72"/>
      <c r="E9" s="73"/>
      <c r="F9" s="74"/>
      <c r="G9" s="73"/>
      <c r="H9" s="74"/>
      <c r="I9" s="73"/>
      <c r="J9" s="79"/>
      <c r="K9" s="79"/>
      <c r="L9" s="79"/>
      <c r="M9" s="79"/>
      <c r="N9" s="79"/>
      <c r="O9" s="79"/>
      <c r="P9" s="79"/>
      <c r="Q9" s="75"/>
      <c r="R9" s="73"/>
      <c r="S9" s="79"/>
      <c r="T9" s="79"/>
      <c r="U9" s="75"/>
      <c r="V9" s="73"/>
      <c r="W9" s="75"/>
      <c r="X9" s="73"/>
      <c r="Y9" s="80"/>
      <c r="Z9" s="80"/>
      <c r="AA9" s="81"/>
      <c r="AB9" s="81"/>
      <c r="AC9" s="81"/>
      <c r="AD9" s="81"/>
      <c r="AE9" s="76"/>
      <c r="AF9" s="74"/>
      <c r="AG9" s="82"/>
      <c r="AH9" s="82"/>
      <c r="AI9" s="82"/>
      <c r="AJ9" s="77"/>
      <c r="AK9" s="72"/>
      <c r="AL9" s="77"/>
      <c r="AM9" s="72"/>
      <c r="AN9" s="76"/>
      <c r="AO9" s="74"/>
      <c r="AP9" s="82"/>
      <c r="AQ9" s="76"/>
      <c r="AR9" s="74"/>
      <c r="AS9" s="82"/>
      <c r="AT9" s="82"/>
      <c r="AU9" s="76"/>
      <c r="AV9" s="74"/>
      <c r="AW9" s="74"/>
      <c r="AX9" s="74"/>
      <c r="AY9" s="76"/>
      <c r="AZ9" s="74"/>
      <c r="BA9" s="78"/>
      <c r="BB9" s="73"/>
    </row>
    <row r="10" spans="1:54" x14ac:dyDescent="0.2">
      <c r="A10" s="83"/>
      <c r="B10" s="84" t="s">
        <v>64</v>
      </c>
      <c r="C10" s="85"/>
      <c r="D10" s="86"/>
      <c r="E10" s="87"/>
      <c r="F10" s="88"/>
      <c r="G10" s="87"/>
      <c r="H10" s="88"/>
      <c r="I10" s="87"/>
      <c r="J10" s="94"/>
      <c r="K10" s="94"/>
      <c r="L10" s="94"/>
      <c r="M10" s="94"/>
      <c r="N10" s="94"/>
      <c r="O10" s="94"/>
      <c r="P10" s="94"/>
      <c r="Q10" s="89"/>
      <c r="R10" s="90"/>
      <c r="S10" s="94"/>
      <c r="T10" s="94"/>
      <c r="U10" s="89"/>
      <c r="V10" s="90"/>
      <c r="W10" s="89"/>
      <c r="X10" s="90"/>
      <c r="Y10" s="95"/>
      <c r="Z10" s="95"/>
      <c r="AA10" s="96"/>
      <c r="AB10" s="96"/>
      <c r="AC10" s="96"/>
      <c r="AD10" s="96"/>
      <c r="AE10" s="91"/>
      <c r="AF10" s="87"/>
      <c r="AG10" s="97"/>
      <c r="AH10" s="97"/>
      <c r="AI10" s="97"/>
      <c r="AJ10" s="88"/>
      <c r="AK10" s="92"/>
      <c r="AL10" s="88"/>
      <c r="AM10" s="92"/>
      <c r="AN10" s="91"/>
      <c r="AO10" s="87"/>
      <c r="AP10" s="97"/>
      <c r="AQ10" s="91"/>
      <c r="AR10" s="87"/>
      <c r="AS10" s="97"/>
      <c r="AT10" s="97"/>
      <c r="AU10" s="91"/>
      <c r="AV10" s="87"/>
      <c r="AW10" s="88"/>
      <c r="AX10" s="87"/>
      <c r="AY10" s="91"/>
      <c r="AZ10" s="87"/>
      <c r="BA10" s="93"/>
      <c r="BB10" s="87"/>
    </row>
    <row r="11" spans="1:54" s="103" customFormat="1" x14ac:dyDescent="0.2">
      <c r="A11" s="98" t="s">
        <v>4</v>
      </c>
      <c r="B11" s="99" t="s">
        <v>21</v>
      </c>
      <c r="C11" s="100">
        <v>15</v>
      </c>
      <c r="D11" s="88">
        <f t="shared" ref="D11:D27" si="0">ROUND(E11*C11,1)</f>
        <v>892.8</v>
      </c>
      <c r="E11" s="101">
        <f>RCF!$C$43</f>
        <v>59.519182319999999</v>
      </c>
      <c r="F11" s="102">
        <f>ROUNDDOWN((H11/1.1039),1)</f>
        <v>338.1</v>
      </c>
      <c r="G11" s="87">
        <f>F11/$C11</f>
        <v>22.540000000000003</v>
      </c>
      <c r="H11" s="102">
        <v>373.3</v>
      </c>
      <c r="I11" s="87">
        <f>H11/$C11</f>
        <v>24.886666666666667</v>
      </c>
      <c r="J11" s="97">
        <f t="shared" ref="J11:P27" si="1">$C11*$I11*J$6</f>
        <v>410.63000000000005</v>
      </c>
      <c r="K11" s="97">
        <f t="shared" si="1"/>
        <v>511.42100000000005</v>
      </c>
      <c r="L11" s="97">
        <f t="shared" si="1"/>
        <v>548.75099999999998</v>
      </c>
      <c r="M11" s="97">
        <f t="shared" si="1"/>
        <v>604.74600000000009</v>
      </c>
      <c r="N11" s="97">
        <f t="shared" si="1"/>
        <v>746.6</v>
      </c>
      <c r="O11" s="97">
        <f t="shared" si="1"/>
        <v>802.59500000000003</v>
      </c>
      <c r="P11" s="97">
        <f t="shared" si="1"/>
        <v>1119.9000000000001</v>
      </c>
      <c r="Q11" s="102">
        <v>378.2</v>
      </c>
      <c r="R11" s="87">
        <f>Q11/$C11</f>
        <v>25.213333333333331</v>
      </c>
      <c r="S11" s="97">
        <f>ROUNDDOWN($Q11*S$6,1)</f>
        <v>491.6</v>
      </c>
      <c r="T11" s="97">
        <f>ROUNDDOWN($Q11*T$6,1)</f>
        <v>567.29999999999995</v>
      </c>
      <c r="U11" s="102">
        <v>251.7</v>
      </c>
      <c r="V11" s="87">
        <f>U11/$C11</f>
        <v>16.779999999999998</v>
      </c>
      <c r="W11" s="102">
        <v>268.2</v>
      </c>
      <c r="X11" s="87">
        <f>W11/$C11</f>
        <v>17.88</v>
      </c>
      <c r="Y11" s="97">
        <f t="shared" ref="Y11:Y26" si="2">ROUNDDOWN($W11*Y$6,1)</f>
        <v>295</v>
      </c>
      <c r="Z11" s="97">
        <f t="shared" ref="Z11:AD17" si="3">$C11*$X11*Z$6</f>
        <v>367.43400000000003</v>
      </c>
      <c r="AA11" s="97">
        <f t="shared" si="3"/>
        <v>434.48400000000004</v>
      </c>
      <c r="AB11" s="97">
        <f t="shared" si="3"/>
        <v>394.25399999999996</v>
      </c>
      <c r="AC11" s="97">
        <f t="shared" si="3"/>
        <v>581.99399999999991</v>
      </c>
      <c r="AD11" s="97">
        <f t="shared" si="3"/>
        <v>804.59999999999991</v>
      </c>
      <c r="AE11" s="88">
        <v>377.8</v>
      </c>
      <c r="AF11" s="87">
        <f>AE11/$C11</f>
        <v>25.186666666666667</v>
      </c>
      <c r="AG11" s="97">
        <f t="shared" ref="AG11:AI27" si="4">ROUND($AE11*AG$6,1)</f>
        <v>623.4</v>
      </c>
      <c r="AH11" s="97">
        <f t="shared" si="4"/>
        <v>793.4</v>
      </c>
      <c r="AI11" s="97">
        <f t="shared" si="4"/>
        <v>1133.4000000000001</v>
      </c>
      <c r="AJ11" s="102">
        <v>375.4</v>
      </c>
      <c r="AK11" s="87">
        <f>AJ11/C11</f>
        <v>25.026666666666664</v>
      </c>
      <c r="AL11" s="102">
        <v>501.4</v>
      </c>
      <c r="AM11" s="87">
        <f>AL11/$C11</f>
        <v>33.426666666666662</v>
      </c>
      <c r="AN11" s="195">
        <f>ROUNDDOWN(C11*AO11,1)</f>
        <v>400.6</v>
      </c>
      <c r="AO11" s="87">
        <f>RCF!I$33</f>
        <v>26.713000000000001</v>
      </c>
      <c r="AP11" s="97">
        <f>ROUNDDOWN($AN11*AP$6,1)</f>
        <v>600.9</v>
      </c>
      <c r="AQ11" s="88">
        <v>395.5</v>
      </c>
      <c r="AR11" s="87">
        <f>AQ11/$C11</f>
        <v>26.366666666666667</v>
      </c>
      <c r="AS11" s="97">
        <f>ROUNDDOWN($AQ11*AS$6,1)</f>
        <v>514.1</v>
      </c>
      <c r="AT11" s="97">
        <f>ROUNDDOWN($AQ11*AT$6,1)</f>
        <v>573.4</v>
      </c>
      <c r="AU11" s="88">
        <v>393.9</v>
      </c>
      <c r="AV11" s="101">
        <f>AU11/C11</f>
        <v>26.259999999999998</v>
      </c>
      <c r="AW11" s="102">
        <v>392.1</v>
      </c>
      <c r="AX11" s="101"/>
      <c r="AY11" s="88">
        <v>400.7</v>
      </c>
      <c r="AZ11" s="87">
        <f>AY11/$C11</f>
        <v>26.713333333333331</v>
      </c>
      <c r="BA11" s="195">
        <f>ROUNDDOWN(C11*BB11,1)</f>
        <v>382.2</v>
      </c>
      <c r="BB11" s="87">
        <f>RCF!I$41</f>
        <v>25.48</v>
      </c>
    </row>
    <row r="12" spans="1:54" s="103" customFormat="1" x14ac:dyDescent="0.2">
      <c r="A12" s="98" t="s">
        <v>5</v>
      </c>
      <c r="B12" s="99" t="s">
        <v>6</v>
      </c>
      <c r="C12" s="100">
        <v>15</v>
      </c>
      <c r="D12" s="88">
        <f t="shared" si="0"/>
        <v>892.8</v>
      </c>
      <c r="E12" s="101">
        <f>RCF!$C$43</f>
        <v>59.519182319999999</v>
      </c>
      <c r="F12" s="102">
        <f t="shared" ref="F12:F27" si="5">ROUNDDOWN((H12/1.1039),1)</f>
        <v>338.1</v>
      </c>
      <c r="G12" s="87">
        <f t="shared" ref="G12:I27" si="6">F12/$C12</f>
        <v>22.540000000000003</v>
      </c>
      <c r="H12" s="102">
        <v>373.3</v>
      </c>
      <c r="I12" s="87">
        <f t="shared" si="6"/>
        <v>24.886666666666667</v>
      </c>
      <c r="J12" s="97">
        <f t="shared" si="1"/>
        <v>410.63000000000005</v>
      </c>
      <c r="K12" s="97">
        <f t="shared" si="1"/>
        <v>511.42100000000005</v>
      </c>
      <c r="L12" s="97">
        <f t="shared" si="1"/>
        <v>548.75099999999998</v>
      </c>
      <c r="M12" s="97">
        <f t="shared" si="1"/>
        <v>604.74600000000009</v>
      </c>
      <c r="N12" s="97">
        <f t="shared" si="1"/>
        <v>746.6</v>
      </c>
      <c r="O12" s="97">
        <f t="shared" si="1"/>
        <v>802.59500000000003</v>
      </c>
      <c r="P12" s="97">
        <f t="shared" si="1"/>
        <v>1119.9000000000001</v>
      </c>
      <c r="Q12" s="102">
        <v>378.2</v>
      </c>
      <c r="R12" s="87">
        <f t="shared" ref="R12" si="7">Q12/$C12</f>
        <v>25.213333333333331</v>
      </c>
      <c r="S12" s="97">
        <f t="shared" ref="S12:T27" si="8">ROUNDDOWN($Q12*S$6,1)</f>
        <v>491.6</v>
      </c>
      <c r="T12" s="97">
        <f t="shared" si="8"/>
        <v>567.29999999999995</v>
      </c>
      <c r="U12" s="102">
        <v>351.3</v>
      </c>
      <c r="V12" s="87">
        <f t="shared" ref="V12" si="9">U12/$C12</f>
        <v>23.42</v>
      </c>
      <c r="W12" s="102">
        <v>374.1</v>
      </c>
      <c r="X12" s="87">
        <f t="shared" ref="X12" si="10">W12/$C12</f>
        <v>24.94</v>
      </c>
      <c r="Y12" s="97">
        <f t="shared" si="2"/>
        <v>411.5</v>
      </c>
      <c r="Z12" s="97">
        <f t="shared" si="3"/>
        <v>512.51700000000005</v>
      </c>
      <c r="AA12" s="97">
        <f t="shared" si="3"/>
        <v>606.04200000000003</v>
      </c>
      <c r="AB12" s="97">
        <f t="shared" si="3"/>
        <v>549.92700000000002</v>
      </c>
      <c r="AC12" s="97">
        <f t="shared" si="3"/>
        <v>811.79700000000003</v>
      </c>
      <c r="AD12" s="97">
        <f t="shared" si="3"/>
        <v>1122.3000000000002</v>
      </c>
      <c r="AE12" s="88">
        <v>377.8</v>
      </c>
      <c r="AF12" s="87">
        <f t="shared" ref="AF12" si="11">AE12/$C12</f>
        <v>25.186666666666667</v>
      </c>
      <c r="AG12" s="97">
        <f t="shared" si="4"/>
        <v>623.4</v>
      </c>
      <c r="AH12" s="97">
        <f t="shared" si="4"/>
        <v>793.4</v>
      </c>
      <c r="AI12" s="97">
        <f t="shared" si="4"/>
        <v>1133.4000000000001</v>
      </c>
      <c r="AJ12" s="102">
        <v>367.6</v>
      </c>
      <c r="AK12" s="87">
        <f t="shared" ref="AK12:AK27" si="12">AJ12/C12</f>
        <v>24.506666666666668</v>
      </c>
      <c r="AL12" s="102">
        <v>501.4</v>
      </c>
      <c r="AM12" s="87">
        <f t="shared" ref="AM12" si="13">AL12/$C12</f>
        <v>33.426666666666662</v>
      </c>
      <c r="AN12" s="195">
        <f t="shared" ref="AN12:AN27" si="14">ROUNDDOWN(C12*AO12,1)</f>
        <v>400.6</v>
      </c>
      <c r="AO12" s="87">
        <f>RCF!I$33</f>
        <v>26.713000000000001</v>
      </c>
      <c r="AP12" s="97">
        <f t="shared" ref="AP12:AP27" si="15">ROUNDDOWN($AN12*AP$6,1)</f>
        <v>600.9</v>
      </c>
      <c r="AQ12" s="88">
        <v>395.5</v>
      </c>
      <c r="AR12" s="87">
        <f t="shared" ref="AR12" si="16">AQ12/$C12</f>
        <v>26.366666666666667</v>
      </c>
      <c r="AS12" s="97">
        <f t="shared" ref="AS12:AT27" si="17">ROUNDDOWN($AQ12*AS$6,1)</f>
        <v>514.1</v>
      </c>
      <c r="AT12" s="97">
        <f t="shared" si="17"/>
        <v>573.4</v>
      </c>
      <c r="AU12" s="88">
        <v>393.9</v>
      </c>
      <c r="AV12" s="101">
        <f t="shared" ref="AV12:AV27" si="18">AU12/C12</f>
        <v>26.259999999999998</v>
      </c>
      <c r="AW12" s="102">
        <v>392.1</v>
      </c>
      <c r="AX12" s="101"/>
      <c r="AY12" s="88">
        <v>400.7</v>
      </c>
      <c r="AZ12" s="87">
        <f t="shared" ref="AZ12" si="19">AY12/$C12</f>
        <v>26.713333333333331</v>
      </c>
      <c r="BA12" s="195">
        <f t="shared" ref="BA12:BA18" si="20">ROUNDDOWN(C12*BB12,1)</f>
        <v>382.2</v>
      </c>
      <c r="BB12" s="87">
        <f>RCF!I$41</f>
        <v>25.48</v>
      </c>
    </row>
    <row r="13" spans="1:54" s="103" customFormat="1" x14ac:dyDescent="0.2">
      <c r="A13" s="104" t="s">
        <v>23</v>
      </c>
      <c r="B13" s="105" t="s">
        <v>27</v>
      </c>
      <c r="C13" s="100">
        <v>12</v>
      </c>
      <c r="D13" s="88">
        <f t="shared" si="0"/>
        <v>714.2</v>
      </c>
      <c r="E13" s="101">
        <f>RCF!$C$43</f>
        <v>59.519182319999999</v>
      </c>
      <c r="F13" s="102">
        <f t="shared" si="5"/>
        <v>293</v>
      </c>
      <c r="G13" s="87">
        <f t="shared" si="6"/>
        <v>24.416666666666668</v>
      </c>
      <c r="H13" s="102">
        <v>323.5</v>
      </c>
      <c r="I13" s="87">
        <f t="shared" si="6"/>
        <v>26.958333333333332</v>
      </c>
      <c r="J13" s="97">
        <f t="shared" si="1"/>
        <v>355.85</v>
      </c>
      <c r="K13" s="97">
        <f t="shared" si="1"/>
        <v>443.19500000000005</v>
      </c>
      <c r="L13" s="97">
        <f t="shared" si="1"/>
        <v>475.54500000000002</v>
      </c>
      <c r="M13" s="97">
        <f t="shared" si="1"/>
        <v>524.07000000000005</v>
      </c>
      <c r="N13" s="97">
        <f t="shared" si="1"/>
        <v>647</v>
      </c>
      <c r="O13" s="97">
        <f t="shared" si="1"/>
        <v>695.52499999999998</v>
      </c>
      <c r="P13" s="97">
        <f t="shared" si="1"/>
        <v>970.5</v>
      </c>
      <c r="Q13" s="102">
        <v>453.7</v>
      </c>
      <c r="R13" s="87">
        <f t="shared" ref="R13" si="21">Q13/$C13</f>
        <v>37.80833333333333</v>
      </c>
      <c r="S13" s="97">
        <f t="shared" si="8"/>
        <v>589.79999999999995</v>
      </c>
      <c r="T13" s="97">
        <f t="shared" si="8"/>
        <v>680.5</v>
      </c>
      <c r="U13" s="102">
        <v>322.2</v>
      </c>
      <c r="V13" s="87">
        <f t="shared" ref="V13" si="22">U13/$C13</f>
        <v>26.849999999999998</v>
      </c>
      <c r="W13" s="102">
        <v>343.1</v>
      </c>
      <c r="X13" s="87">
        <f t="shared" ref="X13" si="23">W13/$C13</f>
        <v>28.591666666666669</v>
      </c>
      <c r="Y13" s="97">
        <f t="shared" si="2"/>
        <v>377.4</v>
      </c>
      <c r="Z13" s="97">
        <f t="shared" si="3"/>
        <v>470.04700000000008</v>
      </c>
      <c r="AA13" s="97">
        <f t="shared" si="3"/>
        <v>555.82200000000012</v>
      </c>
      <c r="AB13" s="97">
        <f t="shared" si="3"/>
        <v>504.35700000000003</v>
      </c>
      <c r="AC13" s="97">
        <f t="shared" si="3"/>
        <v>744.52700000000004</v>
      </c>
      <c r="AD13" s="97">
        <f t="shared" si="3"/>
        <v>1029.3000000000002</v>
      </c>
      <c r="AE13" s="88">
        <v>453.3</v>
      </c>
      <c r="AF13" s="87">
        <f t="shared" ref="AF13" si="24">AE13/$C13</f>
        <v>37.774999999999999</v>
      </c>
      <c r="AG13" s="97">
        <f t="shared" si="4"/>
        <v>747.9</v>
      </c>
      <c r="AH13" s="97">
        <f t="shared" si="4"/>
        <v>951.9</v>
      </c>
      <c r="AI13" s="97">
        <f t="shared" si="4"/>
        <v>1359.9</v>
      </c>
      <c r="AJ13" s="102">
        <v>439.3</v>
      </c>
      <c r="AK13" s="87">
        <f t="shared" si="12"/>
        <v>36.608333333333334</v>
      </c>
      <c r="AL13" s="102">
        <v>586.9</v>
      </c>
      <c r="AM13" s="87">
        <f t="shared" ref="AM13" si="25">AL13/$C13</f>
        <v>48.908333333333331</v>
      </c>
      <c r="AN13" s="195">
        <f t="shared" si="14"/>
        <v>320.5</v>
      </c>
      <c r="AO13" s="87">
        <f>RCF!I$33</f>
        <v>26.713000000000001</v>
      </c>
      <c r="AP13" s="97">
        <f t="shared" si="15"/>
        <v>480.7</v>
      </c>
      <c r="AQ13" s="88">
        <v>475</v>
      </c>
      <c r="AR13" s="87">
        <f t="shared" ref="AR13" si="26">AQ13/$C13</f>
        <v>39.583333333333336</v>
      </c>
      <c r="AS13" s="97">
        <f t="shared" si="17"/>
        <v>617.5</v>
      </c>
      <c r="AT13" s="97">
        <f t="shared" si="17"/>
        <v>688.7</v>
      </c>
      <c r="AU13" s="88">
        <v>472.5</v>
      </c>
      <c r="AV13" s="101">
        <f t="shared" si="18"/>
        <v>39.375</v>
      </c>
      <c r="AW13" s="102">
        <v>313.60000000000002</v>
      </c>
      <c r="AX13" s="101"/>
      <c r="AY13" s="88">
        <v>480.8</v>
      </c>
      <c r="AZ13" s="87">
        <f t="shared" ref="AZ13" si="27">AY13/$C13</f>
        <v>40.06666666666667</v>
      </c>
      <c r="BA13" s="195">
        <f t="shared" si="20"/>
        <v>305.7</v>
      </c>
      <c r="BB13" s="87">
        <f>RCF!I$41</f>
        <v>25.48</v>
      </c>
    </row>
    <row r="14" spans="1:54" s="103" customFormat="1" x14ac:dyDescent="0.2">
      <c r="A14" s="98" t="s">
        <v>7</v>
      </c>
      <c r="B14" s="99" t="s">
        <v>8</v>
      </c>
      <c r="C14" s="100">
        <v>5</v>
      </c>
      <c r="D14" s="88">
        <f t="shared" si="0"/>
        <v>297.60000000000002</v>
      </c>
      <c r="E14" s="101">
        <f>RCF!$C$43</f>
        <v>59.519182319999999</v>
      </c>
      <c r="F14" s="102">
        <f t="shared" si="5"/>
        <v>112.8</v>
      </c>
      <c r="G14" s="87">
        <f t="shared" si="6"/>
        <v>22.56</v>
      </c>
      <c r="H14" s="102">
        <v>124.6</v>
      </c>
      <c r="I14" s="87">
        <f t="shared" si="6"/>
        <v>24.919999999999998</v>
      </c>
      <c r="J14" s="97">
        <f t="shared" si="1"/>
        <v>137.06</v>
      </c>
      <c r="K14" s="97">
        <f t="shared" si="1"/>
        <v>170.702</v>
      </c>
      <c r="L14" s="97">
        <f t="shared" si="1"/>
        <v>183.16199999999998</v>
      </c>
      <c r="M14" s="97">
        <f t="shared" si="1"/>
        <v>201.852</v>
      </c>
      <c r="N14" s="97">
        <f t="shared" si="1"/>
        <v>249.2</v>
      </c>
      <c r="O14" s="97">
        <f t="shared" si="1"/>
        <v>267.89</v>
      </c>
      <c r="P14" s="97">
        <f t="shared" si="1"/>
        <v>373.79999999999995</v>
      </c>
      <c r="Q14" s="102">
        <v>126.4</v>
      </c>
      <c r="R14" s="87">
        <f t="shared" ref="R14" si="28">Q14/$C14</f>
        <v>25.28</v>
      </c>
      <c r="S14" s="97">
        <f t="shared" si="8"/>
        <v>164.3</v>
      </c>
      <c r="T14" s="97">
        <f t="shared" si="8"/>
        <v>189.6</v>
      </c>
      <c r="U14" s="102">
        <v>117</v>
      </c>
      <c r="V14" s="87">
        <f t="shared" ref="V14" si="29">U14/$C14</f>
        <v>23.4</v>
      </c>
      <c r="W14" s="102">
        <v>124.5</v>
      </c>
      <c r="X14" s="87">
        <f t="shared" ref="X14" si="30">W14/$C14</f>
        <v>24.9</v>
      </c>
      <c r="Y14" s="97">
        <f t="shared" si="2"/>
        <v>136.9</v>
      </c>
      <c r="Z14" s="97">
        <f t="shared" si="3"/>
        <v>170.56500000000003</v>
      </c>
      <c r="AA14" s="97">
        <f t="shared" si="3"/>
        <v>201.69000000000003</v>
      </c>
      <c r="AB14" s="97">
        <f t="shared" si="3"/>
        <v>183.01499999999999</v>
      </c>
      <c r="AC14" s="97">
        <f t="shared" si="3"/>
        <v>270.16499999999996</v>
      </c>
      <c r="AD14" s="97">
        <f t="shared" si="3"/>
        <v>373.5</v>
      </c>
      <c r="AE14" s="88">
        <v>126.3</v>
      </c>
      <c r="AF14" s="87">
        <f t="shared" ref="AF14" si="31">AE14/$C14</f>
        <v>25.259999999999998</v>
      </c>
      <c r="AG14" s="97">
        <f t="shared" si="4"/>
        <v>208.4</v>
      </c>
      <c r="AH14" s="97">
        <f t="shared" si="4"/>
        <v>265.2</v>
      </c>
      <c r="AI14" s="97">
        <f t="shared" si="4"/>
        <v>378.9</v>
      </c>
      <c r="AJ14" s="102">
        <v>125.1</v>
      </c>
      <c r="AK14" s="87">
        <f t="shared" si="12"/>
        <v>25.02</v>
      </c>
      <c r="AL14" s="102">
        <v>167.4</v>
      </c>
      <c r="AM14" s="87">
        <f t="shared" ref="AM14" si="32">AL14/$C14</f>
        <v>33.480000000000004</v>
      </c>
      <c r="AN14" s="195">
        <f t="shared" si="14"/>
        <v>133.5</v>
      </c>
      <c r="AO14" s="87">
        <f>RCF!I$33</f>
        <v>26.713000000000001</v>
      </c>
      <c r="AP14" s="97">
        <f t="shared" si="15"/>
        <v>200.2</v>
      </c>
      <c r="AQ14" s="88">
        <v>131.80000000000001</v>
      </c>
      <c r="AR14" s="87">
        <f t="shared" ref="AR14" si="33">AQ14/$C14</f>
        <v>26.360000000000003</v>
      </c>
      <c r="AS14" s="97">
        <f t="shared" si="17"/>
        <v>171.3</v>
      </c>
      <c r="AT14" s="97">
        <f t="shared" si="17"/>
        <v>191.1</v>
      </c>
      <c r="AU14" s="88">
        <v>131.30000000000001</v>
      </c>
      <c r="AV14" s="101">
        <f t="shared" si="18"/>
        <v>26.26</v>
      </c>
      <c r="AW14" s="102">
        <v>130.69999999999999</v>
      </c>
      <c r="AX14" s="101"/>
      <c r="AY14" s="88">
        <v>133.6</v>
      </c>
      <c r="AZ14" s="87">
        <f t="shared" ref="AZ14" si="34">AY14/$C14</f>
        <v>26.72</v>
      </c>
      <c r="BA14" s="195">
        <f t="shared" si="20"/>
        <v>127.4</v>
      </c>
      <c r="BB14" s="87">
        <f>RCF!I$41</f>
        <v>25.48</v>
      </c>
    </row>
    <row r="15" spans="1:54" s="103" customFormat="1" x14ac:dyDescent="0.2">
      <c r="A15" s="98" t="s">
        <v>29</v>
      </c>
      <c r="B15" s="99" t="s">
        <v>57</v>
      </c>
      <c r="C15" s="100">
        <v>9</v>
      </c>
      <c r="D15" s="88">
        <f t="shared" si="0"/>
        <v>535.70000000000005</v>
      </c>
      <c r="E15" s="101">
        <f>RCF!$C$43</f>
        <v>59.519182319999999</v>
      </c>
      <c r="F15" s="102">
        <f t="shared" si="5"/>
        <v>202.9</v>
      </c>
      <c r="G15" s="87">
        <f t="shared" si="6"/>
        <v>22.544444444444444</v>
      </c>
      <c r="H15" s="102">
        <v>224</v>
      </c>
      <c r="I15" s="87">
        <f t="shared" si="6"/>
        <v>24.888888888888889</v>
      </c>
      <c r="J15" s="97">
        <f t="shared" si="1"/>
        <v>246.40000000000003</v>
      </c>
      <c r="K15" s="97">
        <f t="shared" si="1"/>
        <v>306.88</v>
      </c>
      <c r="L15" s="97">
        <f t="shared" si="1"/>
        <v>329.28</v>
      </c>
      <c r="M15" s="97">
        <f t="shared" si="1"/>
        <v>362.88</v>
      </c>
      <c r="N15" s="97">
        <f t="shared" si="1"/>
        <v>448</v>
      </c>
      <c r="O15" s="97">
        <f t="shared" si="1"/>
        <v>481.59999999999997</v>
      </c>
      <c r="P15" s="97">
        <f t="shared" si="1"/>
        <v>672</v>
      </c>
      <c r="Q15" s="102">
        <v>226.8</v>
      </c>
      <c r="R15" s="87">
        <f t="shared" ref="R15" si="35">Q15/$C15</f>
        <v>25.200000000000003</v>
      </c>
      <c r="S15" s="97">
        <f t="shared" si="8"/>
        <v>294.8</v>
      </c>
      <c r="T15" s="97">
        <f t="shared" si="8"/>
        <v>340.2</v>
      </c>
      <c r="U15" s="102">
        <v>210.6</v>
      </c>
      <c r="V15" s="87">
        <f t="shared" ref="V15" si="36">U15/$C15</f>
        <v>23.4</v>
      </c>
      <c r="W15" s="102">
        <v>224.1</v>
      </c>
      <c r="X15" s="87">
        <f t="shared" ref="X15" si="37">W15/$C15</f>
        <v>24.9</v>
      </c>
      <c r="Y15" s="97">
        <f t="shared" si="2"/>
        <v>246.5</v>
      </c>
      <c r="Z15" s="97">
        <f t="shared" si="3"/>
        <v>307.017</v>
      </c>
      <c r="AA15" s="97">
        <f t="shared" si="3"/>
        <v>363.04200000000003</v>
      </c>
      <c r="AB15" s="97">
        <f t="shared" si="3"/>
        <v>329.42699999999996</v>
      </c>
      <c r="AC15" s="97">
        <f t="shared" si="3"/>
        <v>486.29699999999997</v>
      </c>
      <c r="AD15" s="97">
        <f t="shared" si="3"/>
        <v>672.3</v>
      </c>
      <c r="AE15" s="88">
        <v>226.6</v>
      </c>
      <c r="AF15" s="87">
        <f t="shared" ref="AF15" si="38">AE15/$C15</f>
        <v>25.177777777777777</v>
      </c>
      <c r="AG15" s="97">
        <f t="shared" si="4"/>
        <v>373.9</v>
      </c>
      <c r="AH15" s="97">
        <f t="shared" si="4"/>
        <v>475.9</v>
      </c>
      <c r="AI15" s="97">
        <f t="shared" si="4"/>
        <v>679.8</v>
      </c>
      <c r="AJ15" s="102">
        <v>225.3</v>
      </c>
      <c r="AK15" s="87">
        <f t="shared" si="12"/>
        <v>25.033333333333335</v>
      </c>
      <c r="AL15" s="102">
        <v>300.8</v>
      </c>
      <c r="AM15" s="87">
        <f t="shared" ref="AM15" si="39">AL15/$C15</f>
        <v>33.422222222222224</v>
      </c>
      <c r="AN15" s="195">
        <f t="shared" si="14"/>
        <v>240.4</v>
      </c>
      <c r="AO15" s="87">
        <f>RCF!I$33</f>
        <v>26.713000000000001</v>
      </c>
      <c r="AP15" s="97">
        <f t="shared" si="15"/>
        <v>360.6</v>
      </c>
      <c r="AQ15" s="88">
        <v>237.5</v>
      </c>
      <c r="AR15" s="87">
        <f t="shared" ref="AR15" si="40">AQ15/$C15</f>
        <v>26.388888888888889</v>
      </c>
      <c r="AS15" s="97">
        <f t="shared" si="17"/>
        <v>308.7</v>
      </c>
      <c r="AT15" s="97">
        <f t="shared" si="17"/>
        <v>344.3</v>
      </c>
      <c r="AU15" s="88">
        <v>236.6</v>
      </c>
      <c r="AV15" s="101">
        <f t="shared" si="18"/>
        <v>26.288888888888888</v>
      </c>
      <c r="AW15" s="102">
        <v>235.2</v>
      </c>
      <c r="AX15" s="101"/>
      <c r="AY15" s="88">
        <v>240.4</v>
      </c>
      <c r="AZ15" s="87">
        <f t="shared" ref="AZ15" si="41">AY15/$C15</f>
        <v>26.711111111111112</v>
      </c>
      <c r="BA15" s="195">
        <f t="shared" si="20"/>
        <v>229.3</v>
      </c>
      <c r="BB15" s="87">
        <f>RCF!I$41</f>
        <v>25.48</v>
      </c>
    </row>
    <row r="16" spans="1:54" s="103" customFormat="1" x14ac:dyDescent="0.2">
      <c r="A16" s="248" t="s">
        <v>197</v>
      </c>
      <c r="B16" s="270" t="s">
        <v>198</v>
      </c>
      <c r="C16" s="250">
        <v>8</v>
      </c>
      <c r="D16" s="88">
        <f t="shared" ref="D16" si="42">ROUND(E16*C16,1)</f>
        <v>476.2</v>
      </c>
      <c r="E16" s="101">
        <f>RCF!$C$43</f>
        <v>59.519182319999999</v>
      </c>
      <c r="F16" s="102">
        <f t="shared" si="5"/>
        <v>0</v>
      </c>
      <c r="G16" s="87">
        <f t="shared" ref="G16" si="43">F16/$C16</f>
        <v>0</v>
      </c>
      <c r="H16" s="102">
        <v>0</v>
      </c>
      <c r="I16" s="87">
        <f t="shared" ref="I16" si="44">H16/$C16</f>
        <v>0</v>
      </c>
      <c r="J16" s="97">
        <f t="shared" si="1"/>
        <v>0</v>
      </c>
      <c r="K16" s="97">
        <f t="shared" si="1"/>
        <v>0</v>
      </c>
      <c r="L16" s="97">
        <f t="shared" si="1"/>
        <v>0</v>
      </c>
      <c r="M16" s="97">
        <f t="shared" si="1"/>
        <v>0</v>
      </c>
      <c r="N16" s="97">
        <f t="shared" si="1"/>
        <v>0</v>
      </c>
      <c r="O16" s="97">
        <f t="shared" si="1"/>
        <v>0</v>
      </c>
      <c r="P16" s="97">
        <f t="shared" si="1"/>
        <v>0</v>
      </c>
      <c r="Q16" s="251">
        <f t="shared" ref="Q16:Q19" si="45">ROUNDDOWN(C16*R16,1)</f>
        <v>201.7</v>
      </c>
      <c r="R16" s="87">
        <f t="shared" ref="R16:R19" si="46">R$11</f>
        <v>25.213333333333331</v>
      </c>
      <c r="S16" s="97">
        <f t="shared" si="8"/>
        <v>262.2</v>
      </c>
      <c r="T16" s="97">
        <f t="shared" si="8"/>
        <v>302.5</v>
      </c>
      <c r="U16" s="251"/>
      <c r="V16" s="87">
        <f t="shared" ref="V16" si="47">U16/$C16</f>
        <v>0</v>
      </c>
      <c r="W16" s="251"/>
      <c r="X16" s="87">
        <f t="shared" ref="X16" si="48">W16/$C16</f>
        <v>0</v>
      </c>
      <c r="Y16" s="97">
        <f t="shared" si="2"/>
        <v>0</v>
      </c>
      <c r="Z16" s="97">
        <f t="shared" si="3"/>
        <v>0</v>
      </c>
      <c r="AA16" s="97">
        <f t="shared" si="3"/>
        <v>0</v>
      </c>
      <c r="AB16" s="97">
        <f t="shared" si="3"/>
        <v>0</v>
      </c>
      <c r="AC16" s="97">
        <f t="shared" si="3"/>
        <v>0</v>
      </c>
      <c r="AD16" s="97">
        <f t="shared" si="3"/>
        <v>0</v>
      </c>
      <c r="AE16" s="88">
        <v>0</v>
      </c>
      <c r="AF16" s="87">
        <f t="shared" ref="AF16" si="49">AE16/$C16</f>
        <v>0</v>
      </c>
      <c r="AG16" s="97">
        <f t="shared" si="4"/>
        <v>0</v>
      </c>
      <c r="AH16" s="97">
        <f t="shared" si="4"/>
        <v>0</v>
      </c>
      <c r="AI16" s="97">
        <f t="shared" si="4"/>
        <v>0</v>
      </c>
      <c r="AJ16" s="251">
        <v>676.5</v>
      </c>
      <c r="AK16" s="252">
        <f t="shared" ref="AK16" si="50">AJ16/C16</f>
        <v>84.5625</v>
      </c>
      <c r="AL16" s="251">
        <v>903.9</v>
      </c>
      <c r="AM16" s="252">
        <f t="shared" ref="AM16" si="51">AL16/$C16</f>
        <v>112.9875</v>
      </c>
      <c r="AN16" s="195">
        <f t="shared" ref="AN16" si="52">ROUNDDOWN(C16*AO16,1)</f>
        <v>213.7</v>
      </c>
      <c r="AO16" s="87">
        <f>RCF!I$33</f>
        <v>26.713000000000001</v>
      </c>
      <c r="AP16" s="97">
        <f t="shared" si="15"/>
        <v>320.5</v>
      </c>
      <c r="AQ16" s="88">
        <v>0</v>
      </c>
      <c r="AR16" s="87">
        <f t="shared" ref="AR16" si="53">AQ16/$C16</f>
        <v>0</v>
      </c>
      <c r="AS16" s="97">
        <f t="shared" si="17"/>
        <v>0</v>
      </c>
      <c r="AT16" s="97">
        <f t="shared" si="17"/>
        <v>0</v>
      </c>
      <c r="AU16" s="156">
        <v>210</v>
      </c>
      <c r="AV16" s="101">
        <f t="shared" ref="AV16" si="54">AU16/C16</f>
        <v>26.25</v>
      </c>
      <c r="AW16" s="102">
        <v>0</v>
      </c>
      <c r="AX16" s="101"/>
      <c r="AY16" s="156">
        <f>AY18</f>
        <v>213.7</v>
      </c>
      <c r="AZ16" s="87">
        <f t="shared" ref="AZ16" si="55">AY16/$C16</f>
        <v>26.712499999999999</v>
      </c>
      <c r="BA16" s="195">
        <f t="shared" ref="BA16" si="56">ROUNDDOWN(C16*BB16,1)</f>
        <v>203.8</v>
      </c>
      <c r="BB16" s="87">
        <f>RCF!I$41</f>
        <v>25.48</v>
      </c>
    </row>
    <row r="17" spans="1:54" s="103" customFormat="1" x14ac:dyDescent="0.2">
      <c r="A17" s="98" t="s">
        <v>9</v>
      </c>
      <c r="B17" s="271" t="s">
        <v>10</v>
      </c>
      <c r="C17" s="100">
        <v>6</v>
      </c>
      <c r="D17" s="88">
        <f t="shared" si="0"/>
        <v>357.1</v>
      </c>
      <c r="E17" s="101">
        <f>RCF!$C$43</f>
        <v>59.519182319999999</v>
      </c>
      <c r="F17" s="102">
        <f t="shared" si="5"/>
        <v>135.19999999999999</v>
      </c>
      <c r="G17" s="87">
        <f t="shared" si="6"/>
        <v>22.533333333333331</v>
      </c>
      <c r="H17" s="102">
        <v>149.30000000000001</v>
      </c>
      <c r="I17" s="87">
        <f t="shared" si="6"/>
        <v>24.883333333333336</v>
      </c>
      <c r="J17" s="97">
        <f t="shared" si="1"/>
        <v>164.23000000000002</v>
      </c>
      <c r="K17" s="97">
        <f t="shared" si="1"/>
        <v>204.54100000000003</v>
      </c>
      <c r="L17" s="97">
        <f t="shared" si="1"/>
        <v>219.471</v>
      </c>
      <c r="M17" s="97">
        <f t="shared" si="1"/>
        <v>241.86600000000004</v>
      </c>
      <c r="N17" s="97">
        <f t="shared" si="1"/>
        <v>298.60000000000002</v>
      </c>
      <c r="O17" s="97">
        <f t="shared" si="1"/>
        <v>320.995</v>
      </c>
      <c r="P17" s="97">
        <f t="shared" si="1"/>
        <v>447.90000000000003</v>
      </c>
      <c r="Q17" s="274">
        <f t="shared" si="45"/>
        <v>151.19999999999999</v>
      </c>
      <c r="R17" s="87">
        <f t="shared" si="46"/>
        <v>25.213333333333331</v>
      </c>
      <c r="S17" s="97">
        <f t="shared" si="8"/>
        <v>196.5</v>
      </c>
      <c r="T17" s="97">
        <f t="shared" si="8"/>
        <v>226.8</v>
      </c>
      <c r="U17" s="102">
        <v>140.6</v>
      </c>
      <c r="V17" s="87">
        <f t="shared" ref="V17" si="57">U17/$C17</f>
        <v>23.433333333333334</v>
      </c>
      <c r="W17" s="102">
        <v>149.80000000000001</v>
      </c>
      <c r="X17" s="87">
        <f t="shared" ref="X17" si="58">W17/$C17</f>
        <v>24.966666666666669</v>
      </c>
      <c r="Y17" s="97">
        <f t="shared" si="2"/>
        <v>164.7</v>
      </c>
      <c r="Z17" s="97">
        <f t="shared" si="3"/>
        <v>205.22600000000003</v>
      </c>
      <c r="AA17" s="97">
        <f t="shared" si="3"/>
        <v>242.67600000000004</v>
      </c>
      <c r="AB17" s="97">
        <f t="shared" si="3"/>
        <v>220.20600000000002</v>
      </c>
      <c r="AC17" s="97">
        <f t="shared" si="3"/>
        <v>325.06600000000003</v>
      </c>
      <c r="AD17" s="97">
        <f t="shared" si="3"/>
        <v>449.40000000000003</v>
      </c>
      <c r="AE17" s="102">
        <v>151.30000000000001</v>
      </c>
      <c r="AF17" s="87">
        <f t="shared" ref="AF17" si="59">AE17/$C17</f>
        <v>25.216666666666669</v>
      </c>
      <c r="AG17" s="97">
        <f t="shared" si="4"/>
        <v>249.6</v>
      </c>
      <c r="AH17" s="97">
        <f t="shared" si="4"/>
        <v>317.7</v>
      </c>
      <c r="AI17" s="97">
        <f t="shared" si="4"/>
        <v>453.9</v>
      </c>
      <c r="AJ17" s="102">
        <v>150.1</v>
      </c>
      <c r="AK17" s="87">
        <f t="shared" si="12"/>
        <v>25.016666666666666</v>
      </c>
      <c r="AL17" s="102">
        <v>200.7</v>
      </c>
      <c r="AM17" s="87">
        <f t="shared" ref="AM17" si="60">AL17/$C17</f>
        <v>33.449999999999996</v>
      </c>
      <c r="AN17" s="195">
        <f t="shared" si="14"/>
        <v>160.19999999999999</v>
      </c>
      <c r="AO17" s="87">
        <f>RCF!I$33</f>
        <v>26.713000000000001</v>
      </c>
      <c r="AP17" s="97">
        <f t="shared" si="15"/>
        <v>240.3</v>
      </c>
      <c r="AQ17" s="102">
        <v>158.4</v>
      </c>
      <c r="AR17" s="87">
        <f t="shared" ref="AR17" si="61">AQ17/$C17</f>
        <v>26.400000000000002</v>
      </c>
      <c r="AS17" s="97">
        <f t="shared" si="17"/>
        <v>205.9</v>
      </c>
      <c r="AT17" s="97">
        <f t="shared" si="17"/>
        <v>229.6</v>
      </c>
      <c r="AU17" s="88">
        <v>157.6</v>
      </c>
      <c r="AV17" s="101">
        <f t="shared" si="18"/>
        <v>26.266666666666666</v>
      </c>
      <c r="AW17" s="102">
        <v>156.80000000000001</v>
      </c>
      <c r="AX17" s="101"/>
      <c r="AY17" s="88">
        <v>160.27000000000001</v>
      </c>
      <c r="AZ17" s="87">
        <f t="shared" ref="AZ17" si="62">AY17/$C17</f>
        <v>26.71166666666667</v>
      </c>
      <c r="BA17" s="195">
        <f t="shared" si="20"/>
        <v>152.80000000000001</v>
      </c>
      <c r="BB17" s="87">
        <f>RCF!I$41</f>
        <v>25.48</v>
      </c>
    </row>
    <row r="18" spans="1:54" s="103" customFormat="1" x14ac:dyDescent="0.2">
      <c r="A18" s="98" t="s">
        <v>11</v>
      </c>
      <c r="B18" s="271" t="s">
        <v>199</v>
      </c>
      <c r="C18" s="100">
        <v>8</v>
      </c>
      <c r="D18" s="88">
        <f t="shared" si="0"/>
        <v>476.2</v>
      </c>
      <c r="E18" s="101">
        <f>RCF!$C$43</f>
        <v>59.519182319999999</v>
      </c>
      <c r="F18" s="102">
        <f t="shared" si="5"/>
        <v>180.2</v>
      </c>
      <c r="G18" s="87">
        <f t="shared" si="6"/>
        <v>22.524999999999999</v>
      </c>
      <c r="H18" s="102">
        <v>199</v>
      </c>
      <c r="I18" s="87">
        <f t="shared" si="6"/>
        <v>24.875</v>
      </c>
      <c r="J18" s="97">
        <f t="shared" si="1"/>
        <v>218.9</v>
      </c>
      <c r="K18" s="97">
        <f t="shared" si="1"/>
        <v>272.63</v>
      </c>
      <c r="L18" s="97">
        <f t="shared" si="1"/>
        <v>292.52999999999997</v>
      </c>
      <c r="M18" s="97">
        <f t="shared" si="1"/>
        <v>322.38</v>
      </c>
      <c r="N18" s="97">
        <f t="shared" si="1"/>
        <v>398</v>
      </c>
      <c r="O18" s="97">
        <f t="shared" si="1"/>
        <v>427.84999999999997</v>
      </c>
      <c r="P18" s="97">
        <f t="shared" si="1"/>
        <v>597</v>
      </c>
      <c r="Q18" s="274">
        <f t="shared" si="45"/>
        <v>201.7</v>
      </c>
      <c r="R18" s="87">
        <f t="shared" si="46"/>
        <v>25.213333333333331</v>
      </c>
      <c r="S18" s="97">
        <f t="shared" si="8"/>
        <v>262.2</v>
      </c>
      <c r="T18" s="97">
        <f t="shared" si="8"/>
        <v>302.5</v>
      </c>
      <c r="U18" s="102">
        <v>187.5</v>
      </c>
      <c r="V18" s="87">
        <f t="shared" ref="V18" si="63">U18/$C18</f>
        <v>23.4375</v>
      </c>
      <c r="W18" s="102">
        <v>199.6</v>
      </c>
      <c r="X18" s="87">
        <f t="shared" ref="X18" si="64">W18/$C18</f>
        <v>24.95</v>
      </c>
      <c r="Y18" s="97">
        <f t="shared" si="2"/>
        <v>219.5</v>
      </c>
      <c r="Z18" s="97">
        <v>0</v>
      </c>
      <c r="AA18" s="97">
        <f t="shared" ref="AA18:AD19" si="65">$C18*$X18*AA$6</f>
        <v>323.35200000000003</v>
      </c>
      <c r="AB18" s="97">
        <f t="shared" si="65"/>
        <v>293.41199999999998</v>
      </c>
      <c r="AC18" s="97">
        <f t="shared" si="65"/>
        <v>433.13199999999995</v>
      </c>
      <c r="AD18" s="97">
        <f t="shared" si="65"/>
        <v>598.79999999999995</v>
      </c>
      <c r="AE18" s="102">
        <v>201.2</v>
      </c>
      <c r="AF18" s="87">
        <f t="shared" ref="AF18" si="66">AE18/$C18</f>
        <v>25.15</v>
      </c>
      <c r="AG18" s="97">
        <f t="shared" si="4"/>
        <v>332</v>
      </c>
      <c r="AH18" s="97">
        <f t="shared" si="4"/>
        <v>422.5</v>
      </c>
      <c r="AI18" s="97">
        <f t="shared" si="4"/>
        <v>603.6</v>
      </c>
      <c r="AJ18" s="102">
        <v>200.4</v>
      </c>
      <c r="AK18" s="87">
        <f t="shared" si="12"/>
        <v>25.05</v>
      </c>
      <c r="AL18" s="102">
        <v>267.60000000000002</v>
      </c>
      <c r="AM18" s="87">
        <f t="shared" ref="AM18" si="67">AL18/$C18</f>
        <v>33.450000000000003</v>
      </c>
      <c r="AN18" s="195">
        <f t="shared" si="14"/>
        <v>213.7</v>
      </c>
      <c r="AO18" s="87">
        <f>RCF!I$33</f>
        <v>26.713000000000001</v>
      </c>
      <c r="AP18" s="97">
        <f t="shared" si="15"/>
        <v>320.5</v>
      </c>
      <c r="AQ18" s="102">
        <v>211.1</v>
      </c>
      <c r="AR18" s="87">
        <f t="shared" ref="AR18" si="68">AQ18/$C18</f>
        <v>26.387499999999999</v>
      </c>
      <c r="AS18" s="97">
        <f t="shared" si="17"/>
        <v>274.39999999999998</v>
      </c>
      <c r="AT18" s="97">
        <f t="shared" si="17"/>
        <v>306</v>
      </c>
      <c r="AU18" s="88">
        <v>210</v>
      </c>
      <c r="AV18" s="101">
        <f t="shared" si="18"/>
        <v>26.25</v>
      </c>
      <c r="AW18" s="102">
        <v>209.1</v>
      </c>
      <c r="AX18" s="101"/>
      <c r="AY18" s="88">
        <v>213.7</v>
      </c>
      <c r="AZ18" s="87">
        <f t="shared" ref="AZ18" si="69">AY18/$C18</f>
        <v>26.712499999999999</v>
      </c>
      <c r="BA18" s="195">
        <f t="shared" si="20"/>
        <v>203.8</v>
      </c>
      <c r="BB18" s="87">
        <f>RCF!I$41</f>
        <v>25.48</v>
      </c>
    </row>
    <row r="19" spans="1:54" s="103" customFormat="1" x14ac:dyDescent="0.2">
      <c r="A19" s="98" t="s">
        <v>12</v>
      </c>
      <c r="B19" s="271" t="s">
        <v>200</v>
      </c>
      <c r="C19" s="100">
        <v>14</v>
      </c>
      <c r="D19" s="88">
        <f t="shared" si="0"/>
        <v>833.3</v>
      </c>
      <c r="E19" s="101">
        <f>RCF!$C$43</f>
        <v>59.519182319999999</v>
      </c>
      <c r="F19" s="102">
        <f t="shared" si="5"/>
        <v>315.60000000000002</v>
      </c>
      <c r="G19" s="87">
        <f t="shared" si="6"/>
        <v>22.542857142857144</v>
      </c>
      <c r="H19" s="102">
        <v>348.5</v>
      </c>
      <c r="I19" s="87">
        <f t="shared" si="6"/>
        <v>24.892857142857142</v>
      </c>
      <c r="J19" s="97">
        <f t="shared" si="1"/>
        <v>383.35</v>
      </c>
      <c r="K19" s="97">
        <f t="shared" si="1"/>
        <v>477.44500000000005</v>
      </c>
      <c r="L19" s="97">
        <f t="shared" si="1"/>
        <v>512.29499999999996</v>
      </c>
      <c r="M19" s="97">
        <f t="shared" si="1"/>
        <v>564.57000000000005</v>
      </c>
      <c r="N19" s="97">
        <f t="shared" si="1"/>
        <v>697</v>
      </c>
      <c r="O19" s="97">
        <f t="shared" si="1"/>
        <v>749.27499999999998</v>
      </c>
      <c r="P19" s="97">
        <f t="shared" si="1"/>
        <v>1045.5</v>
      </c>
      <c r="Q19" s="274">
        <f t="shared" si="45"/>
        <v>352.9</v>
      </c>
      <c r="R19" s="87">
        <f t="shared" si="46"/>
        <v>25.213333333333331</v>
      </c>
      <c r="S19" s="97">
        <f t="shared" si="8"/>
        <v>458.7</v>
      </c>
      <c r="T19" s="97">
        <f t="shared" si="8"/>
        <v>529.29999999999995</v>
      </c>
      <c r="U19" s="102">
        <v>328.3</v>
      </c>
      <c r="V19" s="87">
        <f t="shared" ref="V19" si="70">U19/$C19</f>
        <v>23.45</v>
      </c>
      <c r="W19" s="102">
        <v>349.7</v>
      </c>
      <c r="X19" s="87">
        <f t="shared" ref="X19" si="71">W19/$C19</f>
        <v>24.978571428571428</v>
      </c>
      <c r="Y19" s="97">
        <f t="shared" si="2"/>
        <v>384.6</v>
      </c>
      <c r="Z19" s="97">
        <f>$C19*$X19*Z$6</f>
        <v>479.089</v>
      </c>
      <c r="AA19" s="97">
        <f t="shared" si="65"/>
        <v>566.51400000000001</v>
      </c>
      <c r="AB19" s="97">
        <f t="shared" si="65"/>
        <v>514.05899999999997</v>
      </c>
      <c r="AC19" s="97">
        <f t="shared" si="65"/>
        <v>758.84899999999993</v>
      </c>
      <c r="AD19" s="97">
        <f t="shared" si="65"/>
        <v>1049.0999999999999</v>
      </c>
      <c r="AE19" s="102">
        <v>352.8</v>
      </c>
      <c r="AF19" s="87">
        <f t="shared" ref="AF19" si="72">AE19/$C19</f>
        <v>25.2</v>
      </c>
      <c r="AG19" s="97">
        <f t="shared" si="4"/>
        <v>582.1</v>
      </c>
      <c r="AH19" s="97">
        <f t="shared" si="4"/>
        <v>740.9</v>
      </c>
      <c r="AI19" s="97">
        <f t="shared" si="4"/>
        <v>1058.4000000000001</v>
      </c>
      <c r="AJ19" s="102">
        <v>350.4</v>
      </c>
      <c r="AK19" s="87">
        <f t="shared" si="12"/>
        <v>25.028571428571428</v>
      </c>
      <c r="AL19" s="102">
        <v>468.2</v>
      </c>
      <c r="AM19" s="87">
        <f t="shared" ref="AM19" si="73">AL19/$C19</f>
        <v>33.442857142857143</v>
      </c>
      <c r="AN19" s="195">
        <f t="shared" si="14"/>
        <v>373.9</v>
      </c>
      <c r="AO19" s="87">
        <f>RCF!I$33</f>
        <v>26.713000000000001</v>
      </c>
      <c r="AP19" s="97">
        <f t="shared" si="15"/>
        <v>560.79999999999995</v>
      </c>
      <c r="AQ19" s="102">
        <v>369.2</v>
      </c>
      <c r="AR19" s="87">
        <f t="shared" ref="AR19" si="74">AQ19/$C19</f>
        <v>26.37142857142857</v>
      </c>
      <c r="AS19" s="97">
        <f t="shared" si="17"/>
        <v>479.9</v>
      </c>
      <c r="AT19" s="97">
        <f t="shared" si="17"/>
        <v>535.29999999999995</v>
      </c>
      <c r="AU19" s="88">
        <v>367.5</v>
      </c>
      <c r="AV19" s="101">
        <f t="shared" si="18"/>
        <v>26.25</v>
      </c>
      <c r="AW19" s="102">
        <v>365.9</v>
      </c>
      <c r="AX19" s="101"/>
      <c r="AY19" s="88">
        <v>373.97</v>
      </c>
      <c r="AZ19" s="87">
        <f t="shared" ref="AZ19" si="75">AY19/$C19</f>
        <v>26.712142857142858</v>
      </c>
      <c r="BA19" s="195">
        <f>ROUNDDOWN(C19*BB19,1)</f>
        <v>356.7</v>
      </c>
      <c r="BB19" s="87">
        <f>RCF!I$41</f>
        <v>25.48</v>
      </c>
    </row>
    <row r="20" spans="1:54" s="103" customFormat="1" x14ac:dyDescent="0.2">
      <c r="A20" s="98" t="s">
        <v>18</v>
      </c>
      <c r="B20" s="99" t="s">
        <v>58</v>
      </c>
      <c r="C20" s="100">
        <v>15</v>
      </c>
      <c r="D20" s="88">
        <f t="shared" si="0"/>
        <v>892.8</v>
      </c>
      <c r="E20" s="101">
        <f>RCF!$C$43</f>
        <v>59.519182319999999</v>
      </c>
      <c r="F20" s="102">
        <f t="shared" si="5"/>
        <v>586.1</v>
      </c>
      <c r="G20" s="87">
        <f t="shared" si="6"/>
        <v>39.073333333333338</v>
      </c>
      <c r="H20" s="102">
        <v>647.1</v>
      </c>
      <c r="I20" s="87">
        <f t="shared" si="6"/>
        <v>43.14</v>
      </c>
      <c r="J20" s="97">
        <f t="shared" si="1"/>
        <v>711.81000000000006</v>
      </c>
      <c r="K20" s="97">
        <f t="shared" si="1"/>
        <v>886.52700000000004</v>
      </c>
      <c r="L20" s="97">
        <f t="shared" si="1"/>
        <v>951.23699999999997</v>
      </c>
      <c r="M20" s="97">
        <f t="shared" si="1"/>
        <v>1048.3020000000001</v>
      </c>
      <c r="N20" s="97">
        <f t="shared" si="1"/>
        <v>1294.2</v>
      </c>
      <c r="O20" s="97">
        <f t="shared" si="1"/>
        <v>1391.2650000000001</v>
      </c>
      <c r="P20" s="97">
        <f t="shared" si="1"/>
        <v>1941.3000000000002</v>
      </c>
      <c r="Q20" s="102">
        <v>655.5</v>
      </c>
      <c r="R20" s="87">
        <f t="shared" ref="R20" si="76">Q20/$C20</f>
        <v>43.7</v>
      </c>
      <c r="S20" s="97">
        <f t="shared" si="8"/>
        <v>852.1</v>
      </c>
      <c r="T20" s="97">
        <f t="shared" si="8"/>
        <v>983.2</v>
      </c>
      <c r="U20" s="102">
        <v>610.6</v>
      </c>
      <c r="V20" s="87">
        <f t="shared" ref="V20" si="77">U20/$C20</f>
        <v>40.706666666666671</v>
      </c>
      <c r="W20" s="102">
        <v>650.4</v>
      </c>
      <c r="X20" s="87">
        <f t="shared" ref="X20" si="78">W20/$C20</f>
        <v>43.36</v>
      </c>
      <c r="Y20" s="97">
        <f t="shared" si="2"/>
        <v>715.4</v>
      </c>
      <c r="Z20" s="97">
        <f>$C20*$X20*Z$6</f>
        <v>891.048</v>
      </c>
      <c r="AA20" s="97">
        <v>0</v>
      </c>
      <c r="AB20" s="97">
        <f t="shared" ref="AB20:AD26" si="79">$C20*$X20*AB$6</f>
        <v>956.08799999999997</v>
      </c>
      <c r="AC20" s="97">
        <f t="shared" si="79"/>
        <v>1411.3679999999999</v>
      </c>
      <c r="AD20" s="97">
        <f t="shared" si="79"/>
        <v>1951.1999999999998</v>
      </c>
      <c r="AE20" s="88">
        <v>654.6</v>
      </c>
      <c r="AF20" s="87">
        <f t="shared" ref="AF20" si="80">AE20/$C20</f>
        <v>43.64</v>
      </c>
      <c r="AG20" s="97">
        <f t="shared" si="4"/>
        <v>1080.0999999999999</v>
      </c>
      <c r="AH20" s="97">
        <f t="shared" si="4"/>
        <v>1374.7</v>
      </c>
      <c r="AI20" s="97">
        <f t="shared" si="4"/>
        <v>1963.8</v>
      </c>
      <c r="AJ20" s="102">
        <v>634.20000000000005</v>
      </c>
      <c r="AK20" s="87">
        <f t="shared" si="12"/>
        <v>42.28</v>
      </c>
      <c r="AL20" s="102">
        <v>847.5</v>
      </c>
      <c r="AM20" s="87">
        <f t="shared" ref="AM20" si="81">AL20/$C20</f>
        <v>56.5</v>
      </c>
      <c r="AN20" s="195">
        <f t="shared" si="14"/>
        <v>400.6</v>
      </c>
      <c r="AO20" s="87">
        <f>RCF!I$33</f>
        <v>26.713000000000001</v>
      </c>
      <c r="AP20" s="97">
        <f t="shared" si="15"/>
        <v>600.9</v>
      </c>
      <c r="AQ20" s="88">
        <v>685.8</v>
      </c>
      <c r="AR20" s="87">
        <f t="shared" ref="AR20" si="82">AQ20/$C20</f>
        <v>45.72</v>
      </c>
      <c r="AS20" s="97">
        <f t="shared" si="17"/>
        <v>891.5</v>
      </c>
      <c r="AT20" s="97">
        <f t="shared" si="17"/>
        <v>994.4</v>
      </c>
      <c r="AU20" s="88">
        <v>682.6</v>
      </c>
      <c r="AV20" s="101">
        <f t="shared" si="18"/>
        <v>45.506666666666668</v>
      </c>
      <c r="AW20" s="102">
        <v>679.6</v>
      </c>
      <c r="AX20" s="101"/>
      <c r="AY20" s="88">
        <v>694.5</v>
      </c>
      <c r="AZ20" s="87">
        <f t="shared" ref="AZ20" si="83">AY20/$C20</f>
        <v>46.3</v>
      </c>
      <c r="BA20" s="88">
        <v>662.3</v>
      </c>
      <c r="BB20" s="87">
        <f t="shared" ref="BB20" si="84">BA20/$C20</f>
        <v>44.153333333333329</v>
      </c>
    </row>
    <row r="21" spans="1:54" s="103" customFormat="1" x14ac:dyDescent="0.2">
      <c r="A21" s="98" t="s">
        <v>19</v>
      </c>
      <c r="B21" s="99" t="s">
        <v>58</v>
      </c>
      <c r="C21" s="100">
        <v>30</v>
      </c>
      <c r="D21" s="88">
        <f t="shared" si="0"/>
        <v>1785.6</v>
      </c>
      <c r="E21" s="101">
        <f>RCF!$C$43</f>
        <v>59.519182319999999</v>
      </c>
      <c r="F21" s="102">
        <f t="shared" si="5"/>
        <v>586.1</v>
      </c>
      <c r="G21" s="87">
        <f t="shared" si="6"/>
        <v>19.536666666666669</v>
      </c>
      <c r="H21" s="102">
        <v>647.1</v>
      </c>
      <c r="I21" s="87">
        <f t="shared" si="6"/>
        <v>21.57</v>
      </c>
      <c r="J21" s="97">
        <f t="shared" si="1"/>
        <v>711.81000000000006</v>
      </c>
      <c r="K21" s="97">
        <f t="shared" si="1"/>
        <v>886.52700000000004</v>
      </c>
      <c r="L21" s="97">
        <f t="shared" si="1"/>
        <v>951.23699999999997</v>
      </c>
      <c r="M21" s="97">
        <f t="shared" si="1"/>
        <v>1048.3020000000001</v>
      </c>
      <c r="N21" s="97">
        <f t="shared" si="1"/>
        <v>1294.2</v>
      </c>
      <c r="O21" s="97">
        <f t="shared" si="1"/>
        <v>1391.2650000000001</v>
      </c>
      <c r="P21" s="97">
        <f t="shared" si="1"/>
        <v>1941.3000000000002</v>
      </c>
      <c r="Q21" s="102">
        <v>655.5</v>
      </c>
      <c r="R21" s="87">
        <f t="shared" ref="R21" si="85">Q21/$C21</f>
        <v>21.85</v>
      </c>
      <c r="S21" s="97">
        <f t="shared" si="8"/>
        <v>852.1</v>
      </c>
      <c r="T21" s="97">
        <f t="shared" si="8"/>
        <v>983.2</v>
      </c>
      <c r="U21" s="102">
        <v>610.6</v>
      </c>
      <c r="V21" s="87">
        <f t="shared" ref="V21" si="86">U21/$C21</f>
        <v>20.353333333333335</v>
      </c>
      <c r="W21" s="102">
        <v>650.4</v>
      </c>
      <c r="X21" s="87">
        <f t="shared" ref="X21" si="87">W21/$C21</f>
        <v>21.68</v>
      </c>
      <c r="Y21" s="97">
        <f t="shared" si="2"/>
        <v>715.4</v>
      </c>
      <c r="Z21" s="97">
        <f>$C21*$X21*Z$6</f>
        <v>891.048</v>
      </c>
      <c r="AA21" s="97">
        <v>0</v>
      </c>
      <c r="AB21" s="97">
        <f t="shared" si="79"/>
        <v>956.08799999999997</v>
      </c>
      <c r="AC21" s="97">
        <f t="shared" si="79"/>
        <v>1411.3679999999999</v>
      </c>
      <c r="AD21" s="97">
        <f t="shared" si="79"/>
        <v>1951.1999999999998</v>
      </c>
      <c r="AE21" s="88">
        <v>654.6</v>
      </c>
      <c r="AF21" s="87">
        <f t="shared" ref="AF21" si="88">AE21/$C21</f>
        <v>21.82</v>
      </c>
      <c r="AG21" s="97">
        <f t="shared" si="4"/>
        <v>1080.0999999999999</v>
      </c>
      <c r="AH21" s="97">
        <f t="shared" si="4"/>
        <v>1374.7</v>
      </c>
      <c r="AI21" s="97">
        <f t="shared" si="4"/>
        <v>1963.8</v>
      </c>
      <c r="AJ21" s="102">
        <v>634.20000000000005</v>
      </c>
      <c r="AK21" s="87">
        <f t="shared" si="12"/>
        <v>21.14</v>
      </c>
      <c r="AL21" s="102">
        <v>847.5</v>
      </c>
      <c r="AM21" s="87">
        <f t="shared" ref="AM21" si="89">AL21/$C21</f>
        <v>28.25</v>
      </c>
      <c r="AN21" s="195">
        <f t="shared" si="14"/>
        <v>801.3</v>
      </c>
      <c r="AO21" s="87">
        <f>RCF!I$33</f>
        <v>26.713000000000001</v>
      </c>
      <c r="AP21" s="97">
        <f t="shared" si="15"/>
        <v>1201.9000000000001</v>
      </c>
      <c r="AQ21" s="88">
        <v>685.8</v>
      </c>
      <c r="AR21" s="87">
        <f t="shared" ref="AR21" si="90">AQ21/$C21</f>
        <v>22.86</v>
      </c>
      <c r="AS21" s="97">
        <f t="shared" si="17"/>
        <v>891.5</v>
      </c>
      <c r="AT21" s="97">
        <f t="shared" si="17"/>
        <v>994.4</v>
      </c>
      <c r="AU21" s="88">
        <v>682.6</v>
      </c>
      <c r="AV21" s="101">
        <f t="shared" si="18"/>
        <v>22.753333333333334</v>
      </c>
      <c r="AW21" s="102">
        <v>679.6</v>
      </c>
      <c r="AX21" s="101"/>
      <c r="AY21" s="88">
        <v>694.5</v>
      </c>
      <c r="AZ21" s="87">
        <f t="shared" ref="AZ21" si="91">AY21/$C21</f>
        <v>23.15</v>
      </c>
      <c r="BA21" s="88">
        <v>662.3</v>
      </c>
      <c r="BB21" s="87">
        <f t="shared" ref="BB21" si="92">BA21/$C21</f>
        <v>22.076666666666664</v>
      </c>
    </row>
    <row r="22" spans="1:54" s="103" customFormat="1" x14ac:dyDescent="0.2">
      <c r="A22" s="98" t="s">
        <v>20</v>
      </c>
      <c r="B22" s="99" t="s">
        <v>58</v>
      </c>
      <c r="C22" s="100">
        <v>45</v>
      </c>
      <c r="D22" s="88">
        <f t="shared" si="0"/>
        <v>2678.4</v>
      </c>
      <c r="E22" s="101">
        <f>RCF!$C$43</f>
        <v>59.519182319999999</v>
      </c>
      <c r="F22" s="102">
        <f t="shared" si="5"/>
        <v>586.1</v>
      </c>
      <c r="G22" s="87">
        <f t="shared" si="6"/>
        <v>13.024444444444445</v>
      </c>
      <c r="H22" s="102">
        <v>647.1</v>
      </c>
      <c r="I22" s="87">
        <f t="shared" si="6"/>
        <v>14.38</v>
      </c>
      <c r="J22" s="97">
        <f t="shared" si="1"/>
        <v>711.81000000000006</v>
      </c>
      <c r="K22" s="97">
        <f t="shared" si="1"/>
        <v>886.52700000000004</v>
      </c>
      <c r="L22" s="97">
        <f t="shared" si="1"/>
        <v>951.23699999999997</v>
      </c>
      <c r="M22" s="97">
        <f t="shared" si="1"/>
        <v>1048.3020000000001</v>
      </c>
      <c r="N22" s="97">
        <f t="shared" si="1"/>
        <v>1294.2</v>
      </c>
      <c r="O22" s="97">
        <f t="shared" si="1"/>
        <v>1391.2650000000001</v>
      </c>
      <c r="P22" s="97">
        <f t="shared" si="1"/>
        <v>1941.3000000000002</v>
      </c>
      <c r="Q22" s="102">
        <v>655.5</v>
      </c>
      <c r="R22" s="87">
        <f t="shared" ref="R22" si="93">Q22/$C22</f>
        <v>14.566666666666666</v>
      </c>
      <c r="S22" s="97">
        <f t="shared" si="8"/>
        <v>852.1</v>
      </c>
      <c r="T22" s="97">
        <f t="shared" si="8"/>
        <v>983.2</v>
      </c>
      <c r="U22" s="102">
        <v>610.6</v>
      </c>
      <c r="V22" s="87">
        <f t="shared" ref="V22" si="94">U22/$C22</f>
        <v>13.568888888888889</v>
      </c>
      <c r="W22" s="102">
        <v>650.4</v>
      </c>
      <c r="X22" s="87">
        <f t="shared" ref="X22" si="95">W22/$C22</f>
        <v>14.453333333333333</v>
      </c>
      <c r="Y22" s="97">
        <f t="shared" si="2"/>
        <v>715.4</v>
      </c>
      <c r="Z22" s="97">
        <f>$C22*$X22*Z$6</f>
        <v>891.048</v>
      </c>
      <c r="AA22" s="97">
        <v>0</v>
      </c>
      <c r="AB22" s="97">
        <f t="shared" si="79"/>
        <v>956.08799999999997</v>
      </c>
      <c r="AC22" s="97">
        <f t="shared" si="79"/>
        <v>1411.3679999999999</v>
      </c>
      <c r="AD22" s="97">
        <f t="shared" si="79"/>
        <v>1951.1999999999998</v>
      </c>
      <c r="AE22" s="88">
        <v>654.6</v>
      </c>
      <c r="AF22" s="87">
        <f t="shared" ref="AF22" si="96">AE22/$C22</f>
        <v>14.546666666666667</v>
      </c>
      <c r="AG22" s="97">
        <f t="shared" si="4"/>
        <v>1080.0999999999999</v>
      </c>
      <c r="AH22" s="97">
        <f t="shared" si="4"/>
        <v>1374.7</v>
      </c>
      <c r="AI22" s="97">
        <f t="shared" si="4"/>
        <v>1963.8</v>
      </c>
      <c r="AJ22" s="102">
        <v>634.20000000000005</v>
      </c>
      <c r="AK22" s="87">
        <f t="shared" si="12"/>
        <v>14.093333333333334</v>
      </c>
      <c r="AL22" s="102">
        <v>847.5</v>
      </c>
      <c r="AM22" s="87">
        <f t="shared" ref="AM22" si="97">AL22/$C22</f>
        <v>18.833333333333332</v>
      </c>
      <c r="AN22" s="195">
        <f t="shared" si="14"/>
        <v>1202</v>
      </c>
      <c r="AO22" s="87">
        <f>RCF!I$33</f>
        <v>26.713000000000001</v>
      </c>
      <c r="AP22" s="97">
        <f t="shared" si="15"/>
        <v>1803</v>
      </c>
      <c r="AQ22" s="88">
        <v>685.8</v>
      </c>
      <c r="AR22" s="87">
        <f t="shared" ref="AR22" si="98">AQ22/$C22</f>
        <v>15.239999999999998</v>
      </c>
      <c r="AS22" s="97">
        <f t="shared" si="17"/>
        <v>891.5</v>
      </c>
      <c r="AT22" s="97">
        <f t="shared" si="17"/>
        <v>994.4</v>
      </c>
      <c r="AU22" s="88">
        <v>682.6</v>
      </c>
      <c r="AV22" s="101">
        <f t="shared" si="18"/>
        <v>15.168888888888889</v>
      </c>
      <c r="AW22" s="102">
        <v>679.6</v>
      </c>
      <c r="AX22" s="101"/>
      <c r="AY22" s="88">
        <v>694.5</v>
      </c>
      <c r="AZ22" s="87">
        <f t="shared" ref="AZ22" si="99">AY22/$C22</f>
        <v>15.433333333333334</v>
      </c>
      <c r="BA22" s="88">
        <v>662.3</v>
      </c>
      <c r="BB22" s="87">
        <f t="shared" ref="BB22" si="100">BA22/$C22</f>
        <v>14.717777777777776</v>
      </c>
    </row>
    <row r="23" spans="1:54" s="103" customFormat="1" x14ac:dyDescent="0.2">
      <c r="A23" s="98" t="s">
        <v>15</v>
      </c>
      <c r="B23" s="99" t="s">
        <v>59</v>
      </c>
      <c r="C23" s="100">
        <v>15</v>
      </c>
      <c r="D23" s="88">
        <f t="shared" si="0"/>
        <v>892.8</v>
      </c>
      <c r="E23" s="101">
        <f>RCF!$C$43</f>
        <v>59.519182319999999</v>
      </c>
      <c r="F23" s="102">
        <f t="shared" si="5"/>
        <v>586.1</v>
      </c>
      <c r="G23" s="87">
        <f t="shared" si="6"/>
        <v>39.073333333333338</v>
      </c>
      <c r="H23" s="102">
        <v>647.1</v>
      </c>
      <c r="I23" s="87">
        <f t="shared" si="6"/>
        <v>43.14</v>
      </c>
      <c r="J23" s="97">
        <f t="shared" si="1"/>
        <v>711.81000000000006</v>
      </c>
      <c r="K23" s="97">
        <f t="shared" si="1"/>
        <v>886.52700000000004</v>
      </c>
      <c r="L23" s="97">
        <f t="shared" si="1"/>
        <v>951.23699999999997</v>
      </c>
      <c r="M23" s="97">
        <f t="shared" si="1"/>
        <v>1048.3020000000001</v>
      </c>
      <c r="N23" s="97">
        <f t="shared" si="1"/>
        <v>1294.2</v>
      </c>
      <c r="O23" s="97">
        <f t="shared" si="1"/>
        <v>1391.2650000000001</v>
      </c>
      <c r="P23" s="97">
        <f t="shared" si="1"/>
        <v>1941.3000000000002</v>
      </c>
      <c r="Q23" s="102">
        <v>655.5</v>
      </c>
      <c r="R23" s="87">
        <f t="shared" ref="R23" si="101">Q23/$C23</f>
        <v>43.7</v>
      </c>
      <c r="S23" s="97">
        <f t="shared" si="8"/>
        <v>852.1</v>
      </c>
      <c r="T23" s="97">
        <f t="shared" si="8"/>
        <v>983.2</v>
      </c>
      <c r="U23" s="102">
        <v>644.4</v>
      </c>
      <c r="V23" s="87">
        <f t="shared" ref="V23" si="102">U23/$C23</f>
        <v>42.96</v>
      </c>
      <c r="W23" s="102">
        <v>686.2</v>
      </c>
      <c r="X23" s="87">
        <f t="shared" ref="X23" si="103">W23/$C23</f>
        <v>45.74666666666667</v>
      </c>
      <c r="Y23" s="97">
        <f t="shared" si="2"/>
        <v>754.8</v>
      </c>
      <c r="Z23" s="97">
        <v>0</v>
      </c>
      <c r="AA23" s="97">
        <f>$C23*$X23*AA$6</f>
        <v>1111.6440000000002</v>
      </c>
      <c r="AB23" s="97">
        <f t="shared" si="79"/>
        <v>1008.7140000000001</v>
      </c>
      <c r="AC23" s="97">
        <f t="shared" si="79"/>
        <v>1489.0540000000001</v>
      </c>
      <c r="AD23" s="97">
        <f t="shared" si="79"/>
        <v>2058.6000000000004</v>
      </c>
      <c r="AE23" s="88">
        <v>654.6</v>
      </c>
      <c r="AF23" s="87">
        <f t="shared" ref="AF23" si="104">AE23/$C23</f>
        <v>43.64</v>
      </c>
      <c r="AG23" s="97">
        <f t="shared" si="4"/>
        <v>1080.0999999999999</v>
      </c>
      <c r="AH23" s="97">
        <f t="shared" si="4"/>
        <v>1374.7</v>
      </c>
      <c r="AI23" s="97">
        <f t="shared" si="4"/>
        <v>1963.8</v>
      </c>
      <c r="AJ23" s="102">
        <v>640.29999999999995</v>
      </c>
      <c r="AK23" s="87">
        <f t="shared" si="12"/>
        <v>42.68666666666666</v>
      </c>
      <c r="AL23" s="102">
        <v>873.9</v>
      </c>
      <c r="AM23" s="87">
        <f t="shared" ref="AM23" si="105">AL23/$C23</f>
        <v>58.26</v>
      </c>
      <c r="AN23" s="195">
        <f t="shared" si="14"/>
        <v>400.6</v>
      </c>
      <c r="AO23" s="87">
        <f>RCF!I$33</f>
        <v>26.713000000000001</v>
      </c>
      <c r="AP23" s="97">
        <f t="shared" si="15"/>
        <v>600.9</v>
      </c>
      <c r="AQ23" s="88">
        <v>685.8</v>
      </c>
      <c r="AR23" s="87">
        <f t="shared" ref="AR23" si="106">AQ23/$C23</f>
        <v>45.72</v>
      </c>
      <c r="AS23" s="97">
        <f t="shared" si="17"/>
        <v>891.5</v>
      </c>
      <c r="AT23" s="97">
        <f t="shared" si="17"/>
        <v>994.4</v>
      </c>
      <c r="AU23" s="88">
        <v>682.6</v>
      </c>
      <c r="AV23" s="101">
        <f t="shared" si="18"/>
        <v>45.506666666666668</v>
      </c>
      <c r="AW23" s="102">
        <v>679.6</v>
      </c>
      <c r="AX23" s="101"/>
      <c r="AY23" s="88">
        <v>694.5</v>
      </c>
      <c r="AZ23" s="87">
        <f t="shared" ref="AZ23" si="107">AY23/$C23</f>
        <v>46.3</v>
      </c>
      <c r="BA23" s="88">
        <v>662.3</v>
      </c>
      <c r="BB23" s="87">
        <f t="shared" ref="BB23" si="108">BA23/$C23</f>
        <v>44.153333333333329</v>
      </c>
    </row>
    <row r="24" spans="1:54" s="103" customFormat="1" x14ac:dyDescent="0.2">
      <c r="A24" s="98" t="s">
        <v>16</v>
      </c>
      <c r="B24" s="99" t="s">
        <v>59</v>
      </c>
      <c r="C24" s="100">
        <v>30</v>
      </c>
      <c r="D24" s="88">
        <f t="shared" si="0"/>
        <v>1785.6</v>
      </c>
      <c r="E24" s="101">
        <f>RCF!$C$43</f>
        <v>59.519182319999999</v>
      </c>
      <c r="F24" s="102">
        <f t="shared" si="5"/>
        <v>586.1</v>
      </c>
      <c r="G24" s="87">
        <f t="shared" si="6"/>
        <v>19.536666666666669</v>
      </c>
      <c r="H24" s="102">
        <v>647.1</v>
      </c>
      <c r="I24" s="87">
        <f t="shared" si="6"/>
        <v>21.57</v>
      </c>
      <c r="J24" s="97">
        <f t="shared" si="1"/>
        <v>711.81000000000006</v>
      </c>
      <c r="K24" s="97">
        <f t="shared" si="1"/>
        <v>886.52700000000004</v>
      </c>
      <c r="L24" s="97">
        <f t="shared" si="1"/>
        <v>951.23699999999997</v>
      </c>
      <c r="M24" s="97">
        <f t="shared" si="1"/>
        <v>1048.3020000000001</v>
      </c>
      <c r="N24" s="97">
        <f t="shared" si="1"/>
        <v>1294.2</v>
      </c>
      <c r="O24" s="97">
        <f t="shared" si="1"/>
        <v>1391.2650000000001</v>
      </c>
      <c r="P24" s="97">
        <f t="shared" si="1"/>
        <v>1941.3000000000002</v>
      </c>
      <c r="Q24" s="102">
        <v>655.5</v>
      </c>
      <c r="R24" s="87">
        <f t="shared" ref="R24" si="109">Q24/$C24</f>
        <v>21.85</v>
      </c>
      <c r="S24" s="97">
        <f t="shared" si="8"/>
        <v>852.1</v>
      </c>
      <c r="T24" s="97">
        <f t="shared" si="8"/>
        <v>983.2</v>
      </c>
      <c r="U24" s="102">
        <v>644.4</v>
      </c>
      <c r="V24" s="87">
        <f t="shared" ref="V24" si="110">U24/$C24</f>
        <v>21.48</v>
      </c>
      <c r="W24" s="102">
        <v>686.2</v>
      </c>
      <c r="X24" s="87">
        <f t="shared" ref="X24" si="111">W24/$C24</f>
        <v>22.873333333333335</v>
      </c>
      <c r="Y24" s="97">
        <f t="shared" si="2"/>
        <v>754.8</v>
      </c>
      <c r="Z24" s="97">
        <v>0</v>
      </c>
      <c r="AA24" s="97">
        <f>$C24*$X24*AA$6</f>
        <v>1111.6440000000002</v>
      </c>
      <c r="AB24" s="97">
        <f t="shared" si="79"/>
        <v>1008.7140000000001</v>
      </c>
      <c r="AC24" s="97">
        <f t="shared" si="79"/>
        <v>1489.0540000000001</v>
      </c>
      <c r="AD24" s="97">
        <f t="shared" si="79"/>
        <v>2058.6000000000004</v>
      </c>
      <c r="AE24" s="88">
        <v>654.6</v>
      </c>
      <c r="AF24" s="87">
        <f t="shared" ref="AF24" si="112">AE24/$C24</f>
        <v>21.82</v>
      </c>
      <c r="AG24" s="97">
        <f t="shared" si="4"/>
        <v>1080.0999999999999</v>
      </c>
      <c r="AH24" s="97">
        <f t="shared" si="4"/>
        <v>1374.7</v>
      </c>
      <c r="AI24" s="97">
        <f t="shared" si="4"/>
        <v>1963.8</v>
      </c>
      <c r="AJ24" s="102">
        <v>640.29999999999995</v>
      </c>
      <c r="AK24" s="87">
        <f t="shared" si="12"/>
        <v>21.34333333333333</v>
      </c>
      <c r="AL24" s="102">
        <v>873.9</v>
      </c>
      <c r="AM24" s="87">
        <f t="shared" ref="AM24" si="113">AL24/$C24</f>
        <v>29.13</v>
      </c>
      <c r="AN24" s="195">
        <f t="shared" si="14"/>
        <v>801.3</v>
      </c>
      <c r="AO24" s="87">
        <f>RCF!I$33</f>
        <v>26.713000000000001</v>
      </c>
      <c r="AP24" s="97">
        <f t="shared" si="15"/>
        <v>1201.9000000000001</v>
      </c>
      <c r="AQ24" s="88">
        <v>685.8</v>
      </c>
      <c r="AR24" s="87">
        <f t="shared" ref="AR24" si="114">AQ24/$C24</f>
        <v>22.86</v>
      </c>
      <c r="AS24" s="97">
        <f t="shared" si="17"/>
        <v>891.5</v>
      </c>
      <c r="AT24" s="97">
        <f t="shared" si="17"/>
        <v>994.4</v>
      </c>
      <c r="AU24" s="88">
        <v>682.6</v>
      </c>
      <c r="AV24" s="101">
        <f t="shared" si="18"/>
        <v>22.753333333333334</v>
      </c>
      <c r="AW24" s="102">
        <v>679.6</v>
      </c>
      <c r="AX24" s="101"/>
      <c r="AY24" s="88">
        <v>694.5</v>
      </c>
      <c r="AZ24" s="87">
        <f t="shared" ref="AZ24" si="115">AY24/$C24</f>
        <v>23.15</v>
      </c>
      <c r="BA24" s="88">
        <v>662.3</v>
      </c>
      <c r="BB24" s="87">
        <f t="shared" ref="BB24" si="116">BA24/$C24</f>
        <v>22.076666666666664</v>
      </c>
    </row>
    <row r="25" spans="1:54" s="103" customFormat="1" x14ac:dyDescent="0.2">
      <c r="A25" s="98" t="s">
        <v>17</v>
      </c>
      <c r="B25" s="99" t="s">
        <v>59</v>
      </c>
      <c r="C25" s="100">
        <v>45</v>
      </c>
      <c r="D25" s="88">
        <f t="shared" si="0"/>
        <v>2678.4</v>
      </c>
      <c r="E25" s="101">
        <f>RCF!$C$43</f>
        <v>59.519182319999999</v>
      </c>
      <c r="F25" s="102">
        <f t="shared" si="5"/>
        <v>586.1</v>
      </c>
      <c r="G25" s="87">
        <f t="shared" si="6"/>
        <v>13.024444444444445</v>
      </c>
      <c r="H25" s="102">
        <v>647.1</v>
      </c>
      <c r="I25" s="87">
        <f t="shared" si="6"/>
        <v>14.38</v>
      </c>
      <c r="J25" s="97">
        <f t="shared" si="1"/>
        <v>711.81000000000006</v>
      </c>
      <c r="K25" s="97">
        <f t="shared" si="1"/>
        <v>886.52700000000004</v>
      </c>
      <c r="L25" s="97">
        <f t="shared" si="1"/>
        <v>951.23699999999997</v>
      </c>
      <c r="M25" s="97">
        <f t="shared" si="1"/>
        <v>1048.3020000000001</v>
      </c>
      <c r="N25" s="97">
        <f t="shared" si="1"/>
        <v>1294.2</v>
      </c>
      <c r="O25" s="97">
        <f t="shared" si="1"/>
        <v>1391.2650000000001</v>
      </c>
      <c r="P25" s="97">
        <f t="shared" si="1"/>
        <v>1941.3000000000002</v>
      </c>
      <c r="Q25" s="102">
        <v>655.5</v>
      </c>
      <c r="R25" s="87">
        <f t="shared" ref="R25" si="117">Q25/$C25</f>
        <v>14.566666666666666</v>
      </c>
      <c r="S25" s="97">
        <f t="shared" si="8"/>
        <v>852.1</v>
      </c>
      <c r="T25" s="97">
        <f t="shared" si="8"/>
        <v>983.2</v>
      </c>
      <c r="U25" s="102">
        <v>644.4</v>
      </c>
      <c r="V25" s="87">
        <f t="shared" ref="V25" si="118">U25/$C25</f>
        <v>14.32</v>
      </c>
      <c r="W25" s="102">
        <v>686.2</v>
      </c>
      <c r="X25" s="87">
        <f t="shared" ref="X25" si="119">W25/$C25</f>
        <v>15.24888888888889</v>
      </c>
      <c r="Y25" s="97">
        <f t="shared" si="2"/>
        <v>754.8</v>
      </c>
      <c r="Z25" s="97">
        <v>0</v>
      </c>
      <c r="AA25" s="97">
        <f>$C25*$X25*AA$6</f>
        <v>1111.6440000000002</v>
      </c>
      <c r="AB25" s="97">
        <f t="shared" si="79"/>
        <v>1008.7140000000001</v>
      </c>
      <c r="AC25" s="97">
        <f t="shared" si="79"/>
        <v>1489.0540000000001</v>
      </c>
      <c r="AD25" s="97">
        <f t="shared" si="79"/>
        <v>2058.6000000000004</v>
      </c>
      <c r="AE25" s="88">
        <v>654.6</v>
      </c>
      <c r="AF25" s="87">
        <f t="shared" ref="AF25" si="120">AE25/$C25</f>
        <v>14.546666666666667</v>
      </c>
      <c r="AG25" s="97">
        <f t="shared" si="4"/>
        <v>1080.0999999999999</v>
      </c>
      <c r="AH25" s="97">
        <f t="shared" si="4"/>
        <v>1374.7</v>
      </c>
      <c r="AI25" s="97">
        <f t="shared" si="4"/>
        <v>1963.8</v>
      </c>
      <c r="AJ25" s="102">
        <v>640.29999999999995</v>
      </c>
      <c r="AK25" s="87">
        <f t="shared" si="12"/>
        <v>14.228888888888887</v>
      </c>
      <c r="AL25" s="102">
        <v>873.9</v>
      </c>
      <c r="AM25" s="87">
        <f t="shared" ref="AM25" si="121">AL25/$C25</f>
        <v>19.419999999999998</v>
      </c>
      <c r="AN25" s="195">
        <f t="shared" si="14"/>
        <v>1202</v>
      </c>
      <c r="AO25" s="87">
        <f>RCF!I$33</f>
        <v>26.713000000000001</v>
      </c>
      <c r="AP25" s="97">
        <f t="shared" si="15"/>
        <v>1803</v>
      </c>
      <c r="AQ25" s="88">
        <v>685.8</v>
      </c>
      <c r="AR25" s="87">
        <f t="shared" ref="AR25" si="122">AQ25/$C25</f>
        <v>15.239999999999998</v>
      </c>
      <c r="AS25" s="97">
        <f t="shared" si="17"/>
        <v>891.5</v>
      </c>
      <c r="AT25" s="97">
        <f t="shared" si="17"/>
        <v>994.4</v>
      </c>
      <c r="AU25" s="88">
        <v>682.6</v>
      </c>
      <c r="AV25" s="101">
        <f t="shared" si="18"/>
        <v>15.168888888888889</v>
      </c>
      <c r="AW25" s="102">
        <v>679.6</v>
      </c>
      <c r="AX25" s="101"/>
      <c r="AY25" s="88">
        <v>694.5</v>
      </c>
      <c r="AZ25" s="87">
        <f t="shared" ref="AZ25" si="123">AY25/$C25</f>
        <v>15.433333333333334</v>
      </c>
      <c r="BA25" s="88">
        <v>662.3</v>
      </c>
      <c r="BB25" s="87">
        <f t="shared" ref="BB25" si="124">BA25/$C25</f>
        <v>14.717777777777776</v>
      </c>
    </row>
    <row r="26" spans="1:54" s="253" customFormat="1" x14ac:dyDescent="0.2">
      <c r="A26" s="248" t="s">
        <v>191</v>
      </c>
      <c r="B26" s="249" t="s">
        <v>59</v>
      </c>
      <c r="C26" s="250">
        <v>63.6</v>
      </c>
      <c r="D26" s="156">
        <f t="shared" ref="D26" si="125">ROUND(E26*C26,1)</f>
        <v>3785.4</v>
      </c>
      <c r="E26" s="157">
        <f>RCF!$C$43</f>
        <v>59.519182319999999</v>
      </c>
      <c r="F26" s="102">
        <f t="shared" si="5"/>
        <v>0</v>
      </c>
      <c r="G26" s="252">
        <f t="shared" ref="G26" si="126">F26/$C26</f>
        <v>0</v>
      </c>
      <c r="H26" s="251">
        <v>0</v>
      </c>
      <c r="I26" s="252">
        <f t="shared" ref="I26" si="127">H26/$C26</f>
        <v>0</v>
      </c>
      <c r="J26" s="158">
        <f t="shared" si="1"/>
        <v>0</v>
      </c>
      <c r="K26" s="158">
        <f t="shared" si="1"/>
        <v>0</v>
      </c>
      <c r="L26" s="158">
        <f t="shared" si="1"/>
        <v>0</v>
      </c>
      <c r="M26" s="158">
        <f t="shared" si="1"/>
        <v>0</v>
      </c>
      <c r="N26" s="158">
        <f t="shared" si="1"/>
        <v>0</v>
      </c>
      <c r="O26" s="158">
        <f t="shared" si="1"/>
        <v>0</v>
      </c>
      <c r="P26" s="158">
        <f t="shared" si="1"/>
        <v>0</v>
      </c>
      <c r="Q26" s="251">
        <v>0</v>
      </c>
      <c r="R26" s="252">
        <f t="shared" ref="R26" si="128">Q26/$C26</f>
        <v>0</v>
      </c>
      <c r="S26" s="158">
        <f t="shared" si="8"/>
        <v>0</v>
      </c>
      <c r="T26" s="158">
        <f t="shared" si="8"/>
        <v>0</v>
      </c>
      <c r="U26" s="251">
        <v>0</v>
      </c>
      <c r="V26" s="252">
        <f t="shared" ref="V26" si="129">U26/$C26</f>
        <v>0</v>
      </c>
      <c r="W26" s="251"/>
      <c r="X26" s="252">
        <f t="shared" ref="X26" si="130">W26/$C26</f>
        <v>0</v>
      </c>
      <c r="Y26" s="158">
        <f t="shared" si="2"/>
        <v>0</v>
      </c>
      <c r="Z26" s="158">
        <v>0</v>
      </c>
      <c r="AA26" s="158">
        <f>$C26*$X26*AA$6</f>
        <v>0</v>
      </c>
      <c r="AB26" s="158">
        <f t="shared" si="79"/>
        <v>0</v>
      </c>
      <c r="AC26" s="158">
        <f t="shared" si="79"/>
        <v>0</v>
      </c>
      <c r="AD26" s="158">
        <f t="shared" si="79"/>
        <v>0</v>
      </c>
      <c r="AE26" s="156">
        <v>0</v>
      </c>
      <c r="AF26" s="252">
        <f t="shared" ref="AF26" si="131">AE26/$C26</f>
        <v>0</v>
      </c>
      <c r="AG26" s="158">
        <f t="shared" si="4"/>
        <v>0</v>
      </c>
      <c r="AH26" s="158">
        <f t="shared" si="4"/>
        <v>0</v>
      </c>
      <c r="AI26" s="158">
        <f t="shared" si="4"/>
        <v>0</v>
      </c>
      <c r="AJ26" s="251">
        <v>640.29999999999995</v>
      </c>
      <c r="AK26" s="252">
        <f t="shared" ref="AK26" si="132">AJ26/C26</f>
        <v>10.067610062893081</v>
      </c>
      <c r="AL26" s="251">
        <v>873.9</v>
      </c>
      <c r="AM26" s="252">
        <f t="shared" ref="AM26" si="133">AL26/$C26</f>
        <v>13.740566037735848</v>
      </c>
      <c r="AN26" s="156">
        <f t="shared" ref="AN26" si="134">ROUNDDOWN(C26*AO26,1)</f>
        <v>1698.9</v>
      </c>
      <c r="AO26" s="252">
        <f>RCF!I$33</f>
        <v>26.713000000000001</v>
      </c>
      <c r="AP26" s="158">
        <f t="shared" si="15"/>
        <v>2548.3000000000002</v>
      </c>
      <c r="AQ26" s="156">
        <v>0</v>
      </c>
      <c r="AR26" s="252">
        <f t="shared" ref="AR26" si="135">AQ26/$C26</f>
        <v>0</v>
      </c>
      <c r="AS26" s="158">
        <f t="shared" si="17"/>
        <v>0</v>
      </c>
      <c r="AT26" s="158">
        <f t="shared" si="17"/>
        <v>0</v>
      </c>
      <c r="AU26" s="156">
        <v>682.6</v>
      </c>
      <c r="AV26" s="157">
        <f t="shared" ref="AV26" si="136">AU26/C26</f>
        <v>10.732704402515724</v>
      </c>
      <c r="AW26" s="251">
        <v>0</v>
      </c>
      <c r="AX26" s="157"/>
      <c r="AY26" s="156">
        <v>0</v>
      </c>
      <c r="AZ26" s="252">
        <f t="shared" ref="AZ26" si="137">AY26/$C26</f>
        <v>0</v>
      </c>
      <c r="BA26" s="156">
        <v>0</v>
      </c>
      <c r="BB26" s="252">
        <f t="shared" ref="BB26" si="138">BA26/$C26</f>
        <v>0</v>
      </c>
    </row>
    <row r="27" spans="1:54" s="103" customFormat="1" x14ac:dyDescent="0.2">
      <c r="A27" s="98" t="s">
        <v>13</v>
      </c>
      <c r="B27" s="106" t="s">
        <v>14</v>
      </c>
      <c r="C27" s="100">
        <v>21.43</v>
      </c>
      <c r="D27" s="88">
        <f t="shared" si="0"/>
        <v>1275.5</v>
      </c>
      <c r="E27" s="101">
        <f>RCF!$C$43</f>
        <v>59.519182319999999</v>
      </c>
      <c r="F27" s="102">
        <f t="shared" si="5"/>
        <v>483.4</v>
      </c>
      <c r="G27" s="87">
        <f t="shared" si="6"/>
        <v>22.557162855809612</v>
      </c>
      <c r="H27" s="102">
        <v>533.70000000000005</v>
      </c>
      <c r="I27" s="87">
        <f t="shared" si="6"/>
        <v>24.904339710685957</v>
      </c>
      <c r="J27" s="97">
        <f t="shared" si="1"/>
        <v>587.07000000000005</v>
      </c>
      <c r="K27" s="97">
        <f t="shared" si="1"/>
        <v>731.1690000000001</v>
      </c>
      <c r="L27" s="97">
        <f t="shared" si="1"/>
        <v>784.5390000000001</v>
      </c>
      <c r="M27" s="97">
        <f t="shared" si="1"/>
        <v>864.59400000000016</v>
      </c>
      <c r="N27" s="97">
        <f t="shared" si="1"/>
        <v>1067.4000000000001</v>
      </c>
      <c r="O27" s="97">
        <f t="shared" si="1"/>
        <v>1147.4550000000002</v>
      </c>
      <c r="P27" s="97">
        <f t="shared" si="1"/>
        <v>1601.1000000000001</v>
      </c>
      <c r="Q27" s="102">
        <v>540.4</v>
      </c>
      <c r="R27" s="87">
        <f t="shared" ref="R27" si="139">Q27/$C27</f>
        <v>25.216985534297713</v>
      </c>
      <c r="S27" s="97">
        <f t="shared" si="8"/>
        <v>702.5</v>
      </c>
      <c r="T27" s="97">
        <f t="shared" si="8"/>
        <v>810.6</v>
      </c>
      <c r="U27" s="102">
        <v>502.2</v>
      </c>
      <c r="V27" s="87">
        <f t="shared" ref="V27" si="140">U27/$C27</f>
        <v>23.434437704153055</v>
      </c>
      <c r="W27" s="97">
        <v>534.9</v>
      </c>
      <c r="X27" s="87">
        <f t="shared" ref="X27" si="141">W27/$C27</f>
        <v>24.960335977601492</v>
      </c>
      <c r="Y27" s="97">
        <f>$W27</f>
        <v>534.9</v>
      </c>
      <c r="Z27" s="97">
        <f t="shared" ref="Z27:AD27" si="142">$W27</f>
        <v>534.9</v>
      </c>
      <c r="AA27" s="97">
        <f t="shared" si="142"/>
        <v>534.9</v>
      </c>
      <c r="AB27" s="97">
        <f t="shared" si="142"/>
        <v>534.9</v>
      </c>
      <c r="AC27" s="97">
        <f t="shared" si="142"/>
        <v>534.9</v>
      </c>
      <c r="AD27" s="97">
        <f t="shared" si="142"/>
        <v>534.9</v>
      </c>
      <c r="AE27" s="88">
        <v>539.9</v>
      </c>
      <c r="AF27" s="87">
        <f t="shared" ref="AF27" si="143">AE27/$C27</f>
        <v>25.193653756416239</v>
      </c>
      <c r="AG27" s="97">
        <f t="shared" si="4"/>
        <v>890.8</v>
      </c>
      <c r="AH27" s="97">
        <f t="shared" si="4"/>
        <v>1133.8</v>
      </c>
      <c r="AI27" s="97">
        <f t="shared" si="4"/>
        <v>1619.7</v>
      </c>
      <c r="AJ27" s="102">
        <v>472.1</v>
      </c>
      <c r="AK27" s="87">
        <f t="shared" si="12"/>
        <v>22.029864675688287</v>
      </c>
      <c r="AL27" s="102">
        <v>630.70000000000005</v>
      </c>
      <c r="AM27" s="87">
        <f t="shared" ref="AM27" si="144">AL27/$C27</f>
        <v>29.430704619692023</v>
      </c>
      <c r="AN27" s="195">
        <f t="shared" si="14"/>
        <v>572.4</v>
      </c>
      <c r="AO27" s="87">
        <f>RCF!I$33</f>
        <v>26.713000000000001</v>
      </c>
      <c r="AP27" s="97">
        <f t="shared" si="15"/>
        <v>858.6</v>
      </c>
      <c r="AQ27" s="88">
        <v>565.29999999999995</v>
      </c>
      <c r="AR27" s="87">
        <f t="shared" ref="AR27" si="145">AQ27/$C27</f>
        <v>26.378908072795145</v>
      </c>
      <c r="AS27" s="97">
        <f t="shared" si="17"/>
        <v>734.8</v>
      </c>
      <c r="AT27" s="97">
        <f t="shared" si="17"/>
        <v>819.6</v>
      </c>
      <c r="AU27" s="88">
        <v>682.6</v>
      </c>
      <c r="AV27" s="101">
        <f t="shared" si="18"/>
        <v>31.852543163789083</v>
      </c>
      <c r="AW27" s="102">
        <v>560.1</v>
      </c>
      <c r="AX27" s="101"/>
      <c r="AY27" s="88">
        <v>572.4</v>
      </c>
      <c r="AZ27" s="87">
        <f t="shared" ref="AZ27" si="146">AY27/$C27</f>
        <v>26.710219318712085</v>
      </c>
      <c r="BA27" s="195">
        <f>ROUNDDOWN(C27*BB27,1)</f>
        <v>546</v>
      </c>
      <c r="BB27" s="87">
        <f>RCF!I$41</f>
        <v>25.48</v>
      </c>
    </row>
    <row r="28" spans="1:54" s="37" customFormat="1" ht="25.5" x14ac:dyDescent="0.2">
      <c r="A28" s="171" t="s">
        <v>74</v>
      </c>
      <c r="B28" s="172" t="s">
        <v>160</v>
      </c>
      <c r="C28" s="36">
        <v>0</v>
      </c>
      <c r="D28" s="36">
        <v>0</v>
      </c>
      <c r="E28" s="36">
        <v>0</v>
      </c>
      <c r="F28" s="36">
        <v>0</v>
      </c>
      <c r="G28" s="36">
        <v>0</v>
      </c>
      <c r="H28" s="36">
        <v>0</v>
      </c>
      <c r="I28" s="36">
        <v>0</v>
      </c>
      <c r="J28" s="38">
        <v>0</v>
      </c>
      <c r="K28" s="38">
        <v>0</v>
      </c>
      <c r="L28" s="38">
        <v>0</v>
      </c>
      <c r="M28" s="38">
        <v>0</v>
      </c>
      <c r="N28" s="38">
        <v>0</v>
      </c>
      <c r="O28" s="38">
        <v>0</v>
      </c>
      <c r="P28" s="38">
        <v>0</v>
      </c>
      <c r="Q28" s="36">
        <v>0</v>
      </c>
      <c r="R28" s="36">
        <v>0</v>
      </c>
      <c r="S28" s="38">
        <f t="shared" ref="S28:T33" si="147">ROUNDDOWN($Q28*S$6,1)</f>
        <v>0</v>
      </c>
      <c r="T28" s="38">
        <f t="shared" si="147"/>
        <v>0</v>
      </c>
      <c r="U28" s="36">
        <v>0</v>
      </c>
      <c r="V28" s="36">
        <v>0</v>
      </c>
      <c r="W28" s="36">
        <v>0</v>
      </c>
      <c r="X28" s="36">
        <v>0</v>
      </c>
      <c r="Y28" s="39" t="s">
        <v>75</v>
      </c>
      <c r="Z28" s="38">
        <v>1825.3</v>
      </c>
      <c r="AA28" s="39" t="s">
        <v>75</v>
      </c>
      <c r="AB28" s="38">
        <v>1958.7</v>
      </c>
      <c r="AC28" s="38">
        <v>2891.2</v>
      </c>
      <c r="AD28" s="38">
        <v>2891.2</v>
      </c>
      <c r="AE28" s="36">
        <v>0</v>
      </c>
      <c r="AF28" s="36">
        <v>0</v>
      </c>
      <c r="AG28" s="38">
        <v>0</v>
      </c>
      <c r="AH28" s="38">
        <v>0</v>
      </c>
      <c r="AI28" s="38">
        <v>0</v>
      </c>
      <c r="AJ28" s="36">
        <v>0</v>
      </c>
      <c r="AK28" s="36">
        <v>0</v>
      </c>
      <c r="AL28" s="36">
        <v>0</v>
      </c>
      <c r="AM28" s="36">
        <v>0</v>
      </c>
      <c r="AN28" s="36">
        <v>0</v>
      </c>
      <c r="AO28" s="36">
        <v>0</v>
      </c>
      <c r="AP28" s="38">
        <v>0</v>
      </c>
      <c r="AQ28" s="36">
        <v>0</v>
      </c>
      <c r="AR28" s="36">
        <v>0</v>
      </c>
      <c r="AS28" s="38">
        <v>0</v>
      </c>
      <c r="AT28" s="38">
        <v>0</v>
      </c>
      <c r="AU28" s="36">
        <v>0</v>
      </c>
      <c r="AV28" s="36">
        <v>0</v>
      </c>
      <c r="AW28" s="36"/>
      <c r="AX28" s="36"/>
      <c r="AY28" s="36">
        <v>0</v>
      </c>
      <c r="AZ28" s="173">
        <v>0</v>
      </c>
      <c r="BA28" s="36">
        <v>0</v>
      </c>
      <c r="BB28" s="36">
        <v>0</v>
      </c>
    </row>
    <row r="29" spans="1:54" s="37" customFormat="1" ht="25.5" x14ac:dyDescent="0.2">
      <c r="A29" s="171" t="s">
        <v>74</v>
      </c>
      <c r="B29" s="172" t="s">
        <v>161</v>
      </c>
      <c r="C29" s="36">
        <v>0</v>
      </c>
      <c r="D29" s="36">
        <v>0</v>
      </c>
      <c r="E29" s="36">
        <v>0</v>
      </c>
      <c r="F29" s="36">
        <v>0</v>
      </c>
      <c r="G29" s="36">
        <v>0</v>
      </c>
      <c r="H29" s="36">
        <v>0</v>
      </c>
      <c r="I29" s="36">
        <v>0</v>
      </c>
      <c r="J29" s="38">
        <v>0</v>
      </c>
      <c r="K29" s="38">
        <v>0</v>
      </c>
      <c r="L29" s="38">
        <v>0</v>
      </c>
      <c r="M29" s="38">
        <v>0</v>
      </c>
      <c r="N29" s="38">
        <v>0</v>
      </c>
      <c r="O29" s="38">
        <v>0</v>
      </c>
      <c r="P29" s="38">
        <v>0</v>
      </c>
      <c r="Q29" s="36">
        <v>0</v>
      </c>
      <c r="R29" s="36">
        <v>0</v>
      </c>
      <c r="S29" s="38">
        <f t="shared" si="147"/>
        <v>0</v>
      </c>
      <c r="T29" s="38">
        <f t="shared" si="147"/>
        <v>0</v>
      </c>
      <c r="U29" s="36">
        <v>0</v>
      </c>
      <c r="V29" s="36">
        <v>0</v>
      </c>
      <c r="W29" s="36">
        <v>0</v>
      </c>
      <c r="X29" s="36">
        <v>0</v>
      </c>
      <c r="Y29" s="38">
        <v>1465.6</v>
      </c>
      <c r="Z29" s="38">
        <v>1825.3</v>
      </c>
      <c r="AA29" s="39" t="s">
        <v>75</v>
      </c>
      <c r="AB29" s="38">
        <v>1958.7</v>
      </c>
      <c r="AC29" s="38">
        <v>1332.4</v>
      </c>
      <c r="AD29" s="39" t="s">
        <v>75</v>
      </c>
      <c r="AE29" s="36">
        <v>0</v>
      </c>
      <c r="AF29" s="36">
        <v>0</v>
      </c>
      <c r="AG29" s="38">
        <v>0</v>
      </c>
      <c r="AH29" s="38">
        <v>0</v>
      </c>
      <c r="AI29" s="38">
        <v>0</v>
      </c>
      <c r="AJ29" s="36">
        <v>0</v>
      </c>
      <c r="AK29" s="36">
        <v>0</v>
      </c>
      <c r="AL29" s="36">
        <v>0</v>
      </c>
      <c r="AM29" s="36">
        <v>0</v>
      </c>
      <c r="AN29" s="36">
        <v>0</v>
      </c>
      <c r="AO29" s="36">
        <v>0</v>
      </c>
      <c r="AP29" s="38">
        <v>0</v>
      </c>
      <c r="AQ29" s="36">
        <v>0</v>
      </c>
      <c r="AR29" s="36">
        <v>0</v>
      </c>
      <c r="AS29" s="38">
        <v>0</v>
      </c>
      <c r="AT29" s="38">
        <v>0</v>
      </c>
      <c r="AU29" s="36">
        <v>0</v>
      </c>
      <c r="AV29" s="36">
        <v>0</v>
      </c>
      <c r="AW29" s="36"/>
      <c r="AX29" s="36"/>
      <c r="AY29" s="36">
        <v>0</v>
      </c>
      <c r="AZ29" s="173">
        <v>0</v>
      </c>
      <c r="BA29" s="36">
        <v>0</v>
      </c>
      <c r="BB29" s="36">
        <v>0</v>
      </c>
    </row>
    <row r="30" spans="1:54" s="37" customFormat="1" ht="25.5" x14ac:dyDescent="0.2">
      <c r="A30" s="171" t="s">
        <v>76</v>
      </c>
      <c r="B30" s="172" t="s">
        <v>162</v>
      </c>
      <c r="C30" s="36">
        <v>0</v>
      </c>
      <c r="D30" s="36">
        <v>0</v>
      </c>
      <c r="E30" s="36">
        <v>0</v>
      </c>
      <c r="F30" s="36">
        <v>0</v>
      </c>
      <c r="G30" s="36">
        <v>0</v>
      </c>
      <c r="H30" s="36">
        <v>0</v>
      </c>
      <c r="I30" s="36">
        <v>0</v>
      </c>
      <c r="J30" s="38">
        <v>0</v>
      </c>
      <c r="K30" s="38">
        <v>0</v>
      </c>
      <c r="L30" s="38">
        <v>0</v>
      </c>
      <c r="M30" s="38">
        <v>0</v>
      </c>
      <c r="N30" s="38">
        <v>0</v>
      </c>
      <c r="O30" s="38">
        <v>0</v>
      </c>
      <c r="P30" s="38">
        <v>0</v>
      </c>
      <c r="Q30" s="36">
        <v>0</v>
      </c>
      <c r="R30" s="36">
        <v>0</v>
      </c>
      <c r="S30" s="38">
        <f t="shared" si="147"/>
        <v>0</v>
      </c>
      <c r="T30" s="38">
        <f t="shared" si="147"/>
        <v>0</v>
      </c>
      <c r="U30" s="36">
        <v>0</v>
      </c>
      <c r="V30" s="36">
        <v>0</v>
      </c>
      <c r="W30" s="36">
        <v>0</v>
      </c>
      <c r="X30" s="36">
        <v>0</v>
      </c>
      <c r="Y30" s="39" t="s">
        <v>75</v>
      </c>
      <c r="Z30" s="38">
        <v>705.4</v>
      </c>
      <c r="AA30" s="39" t="s">
        <v>75</v>
      </c>
      <c r="AB30" s="38">
        <v>757</v>
      </c>
      <c r="AC30" s="38">
        <v>1117.2</v>
      </c>
      <c r="AD30" s="38">
        <v>1117.2</v>
      </c>
      <c r="AE30" s="36">
        <v>0</v>
      </c>
      <c r="AF30" s="36">
        <v>0</v>
      </c>
      <c r="AG30" s="38">
        <v>0</v>
      </c>
      <c r="AH30" s="38">
        <v>0</v>
      </c>
      <c r="AI30" s="38">
        <v>0</v>
      </c>
      <c r="AJ30" s="36">
        <v>0</v>
      </c>
      <c r="AK30" s="36">
        <v>0</v>
      </c>
      <c r="AL30" s="36">
        <v>0</v>
      </c>
      <c r="AM30" s="36">
        <v>0</v>
      </c>
      <c r="AN30" s="36">
        <v>0</v>
      </c>
      <c r="AO30" s="36">
        <v>0</v>
      </c>
      <c r="AP30" s="38">
        <v>0</v>
      </c>
      <c r="AQ30" s="36">
        <v>0</v>
      </c>
      <c r="AR30" s="36">
        <v>0</v>
      </c>
      <c r="AS30" s="38">
        <v>0</v>
      </c>
      <c r="AT30" s="38">
        <v>0</v>
      </c>
      <c r="AU30" s="36">
        <v>0</v>
      </c>
      <c r="AV30" s="36">
        <v>0</v>
      </c>
      <c r="AW30" s="36"/>
      <c r="AX30" s="36"/>
      <c r="AY30" s="36">
        <v>0</v>
      </c>
      <c r="AZ30" s="173">
        <v>0</v>
      </c>
      <c r="BA30" s="36">
        <v>0</v>
      </c>
      <c r="BB30" s="36">
        <v>0</v>
      </c>
    </row>
    <row r="31" spans="1:54" s="37" customFormat="1" ht="25.5" x14ac:dyDescent="0.2">
      <c r="A31" s="171" t="s">
        <v>76</v>
      </c>
      <c r="B31" s="172" t="s">
        <v>163</v>
      </c>
      <c r="C31" s="36">
        <v>0</v>
      </c>
      <c r="D31" s="36">
        <v>0</v>
      </c>
      <c r="E31" s="36">
        <v>0</v>
      </c>
      <c r="F31" s="36">
        <v>0</v>
      </c>
      <c r="G31" s="36">
        <v>0</v>
      </c>
      <c r="H31" s="36">
        <v>0</v>
      </c>
      <c r="I31" s="36">
        <v>0</v>
      </c>
      <c r="J31" s="38">
        <v>0</v>
      </c>
      <c r="K31" s="38">
        <v>0</v>
      </c>
      <c r="L31" s="38">
        <v>0</v>
      </c>
      <c r="M31" s="38">
        <v>0</v>
      </c>
      <c r="N31" s="38">
        <v>0</v>
      </c>
      <c r="O31" s="38">
        <v>0</v>
      </c>
      <c r="P31" s="38">
        <v>0</v>
      </c>
      <c r="Q31" s="36">
        <v>0</v>
      </c>
      <c r="R31" s="36">
        <v>0</v>
      </c>
      <c r="S31" s="38">
        <f t="shared" si="147"/>
        <v>0</v>
      </c>
      <c r="T31" s="38">
        <f t="shared" si="147"/>
        <v>0</v>
      </c>
      <c r="U31" s="36">
        <v>0</v>
      </c>
      <c r="V31" s="36">
        <v>0</v>
      </c>
      <c r="W31" s="36">
        <v>0</v>
      </c>
      <c r="X31" s="36">
        <v>0</v>
      </c>
      <c r="Y31" s="38">
        <v>566.29999999999995</v>
      </c>
      <c r="Z31" s="38">
        <v>705.4</v>
      </c>
      <c r="AA31" s="39" t="s">
        <v>75</v>
      </c>
      <c r="AB31" s="38">
        <v>757</v>
      </c>
      <c r="AC31" s="38">
        <v>519</v>
      </c>
      <c r="AD31" s="39" t="s">
        <v>75</v>
      </c>
      <c r="AE31" s="36">
        <v>0</v>
      </c>
      <c r="AF31" s="36">
        <v>0</v>
      </c>
      <c r="AG31" s="38">
        <v>0</v>
      </c>
      <c r="AH31" s="38">
        <v>0</v>
      </c>
      <c r="AI31" s="38">
        <v>0</v>
      </c>
      <c r="AJ31" s="36">
        <v>0</v>
      </c>
      <c r="AK31" s="36">
        <v>0</v>
      </c>
      <c r="AL31" s="36">
        <v>0</v>
      </c>
      <c r="AM31" s="36">
        <v>0</v>
      </c>
      <c r="AN31" s="36">
        <v>0</v>
      </c>
      <c r="AO31" s="36">
        <v>0</v>
      </c>
      <c r="AP31" s="38">
        <v>0</v>
      </c>
      <c r="AQ31" s="36">
        <v>0</v>
      </c>
      <c r="AR31" s="36">
        <v>0</v>
      </c>
      <c r="AS31" s="38">
        <v>0</v>
      </c>
      <c r="AT31" s="38">
        <v>0</v>
      </c>
      <c r="AU31" s="36">
        <v>0</v>
      </c>
      <c r="AV31" s="36">
        <v>0</v>
      </c>
      <c r="AW31" s="36"/>
      <c r="AX31" s="36"/>
      <c r="AY31" s="36">
        <v>0</v>
      </c>
      <c r="AZ31" s="173">
        <v>0</v>
      </c>
      <c r="BA31" s="36">
        <v>0</v>
      </c>
      <c r="BB31" s="36">
        <v>0</v>
      </c>
    </row>
    <row r="32" spans="1:54" s="150" customFormat="1" x14ac:dyDescent="0.2">
      <c r="A32" s="144" t="s">
        <v>118</v>
      </c>
      <c r="B32" s="145" t="s">
        <v>119</v>
      </c>
      <c r="C32" s="146">
        <v>2.06</v>
      </c>
      <c r="D32" s="146">
        <v>0</v>
      </c>
      <c r="E32" s="146">
        <v>0</v>
      </c>
      <c r="F32" s="146">
        <v>0</v>
      </c>
      <c r="G32" s="146">
        <v>0</v>
      </c>
      <c r="H32" s="146">
        <v>0</v>
      </c>
      <c r="I32" s="146">
        <v>0</v>
      </c>
      <c r="J32" s="147">
        <v>0</v>
      </c>
      <c r="K32" s="147">
        <v>0</v>
      </c>
      <c r="L32" s="147">
        <v>0</v>
      </c>
      <c r="M32" s="147">
        <v>0</v>
      </c>
      <c r="N32" s="147">
        <v>0</v>
      </c>
      <c r="O32" s="147">
        <v>0</v>
      </c>
      <c r="P32" s="147">
        <v>0</v>
      </c>
      <c r="Q32" s="146">
        <v>0</v>
      </c>
      <c r="R32" s="146">
        <f t="shared" ref="R32:R33" si="148">Q32/C32</f>
        <v>0</v>
      </c>
      <c r="S32" s="147">
        <f t="shared" si="147"/>
        <v>0</v>
      </c>
      <c r="T32" s="147">
        <f t="shared" si="147"/>
        <v>0</v>
      </c>
      <c r="U32" s="146">
        <v>0</v>
      </c>
      <c r="V32" s="146">
        <f t="shared" ref="V32:V33" si="149">U32/C32</f>
        <v>0</v>
      </c>
      <c r="W32" s="146">
        <v>0</v>
      </c>
      <c r="X32" s="146">
        <v>0</v>
      </c>
      <c r="Y32" s="147">
        <v>0</v>
      </c>
      <c r="Z32" s="147">
        <v>0</v>
      </c>
      <c r="AA32" s="148">
        <v>0</v>
      </c>
      <c r="AB32" s="147">
        <v>0</v>
      </c>
      <c r="AC32" s="147">
        <v>0</v>
      </c>
      <c r="AD32" s="147">
        <v>0</v>
      </c>
      <c r="AE32" s="146">
        <v>0</v>
      </c>
      <c r="AF32" s="146">
        <v>0</v>
      </c>
      <c r="AG32" s="147">
        <v>0</v>
      </c>
      <c r="AH32" s="147">
        <v>0</v>
      </c>
      <c r="AI32" s="147">
        <v>0</v>
      </c>
      <c r="AJ32" s="146">
        <v>0</v>
      </c>
      <c r="AK32" s="146">
        <v>0</v>
      </c>
      <c r="AL32" s="146">
        <v>0</v>
      </c>
      <c r="AM32" s="146">
        <v>0</v>
      </c>
      <c r="AN32" s="146">
        <v>0</v>
      </c>
      <c r="AO32" s="146">
        <v>0</v>
      </c>
      <c r="AP32" s="147">
        <v>0</v>
      </c>
      <c r="AQ32" s="146">
        <v>0</v>
      </c>
      <c r="AR32" s="146">
        <v>0</v>
      </c>
      <c r="AS32" s="147">
        <v>0</v>
      </c>
      <c r="AT32" s="147">
        <v>0</v>
      </c>
      <c r="AU32" s="146">
        <v>0</v>
      </c>
      <c r="AV32" s="146">
        <v>0</v>
      </c>
      <c r="AW32" s="146"/>
      <c r="AX32" s="146"/>
      <c r="AY32" s="146"/>
      <c r="AZ32" s="149">
        <f>AY32/C32</f>
        <v>0</v>
      </c>
      <c r="BA32" s="146">
        <v>0</v>
      </c>
      <c r="BB32" s="146">
        <v>0</v>
      </c>
    </row>
    <row r="33" spans="1:54" s="150" customFormat="1" x14ac:dyDescent="0.2">
      <c r="A33" s="144" t="s">
        <v>120</v>
      </c>
      <c r="B33" s="145" t="s">
        <v>121</v>
      </c>
      <c r="C33" s="146">
        <v>3.05</v>
      </c>
      <c r="D33" s="146">
        <v>0</v>
      </c>
      <c r="E33" s="146">
        <v>0</v>
      </c>
      <c r="F33" s="146">
        <v>0</v>
      </c>
      <c r="G33" s="146">
        <v>0</v>
      </c>
      <c r="H33" s="146">
        <v>0</v>
      </c>
      <c r="I33" s="146">
        <v>0</v>
      </c>
      <c r="J33" s="147">
        <v>0</v>
      </c>
      <c r="K33" s="147">
        <v>0</v>
      </c>
      <c r="L33" s="147">
        <v>0</v>
      </c>
      <c r="M33" s="147">
        <v>0</v>
      </c>
      <c r="N33" s="147">
        <v>0</v>
      </c>
      <c r="O33" s="147">
        <v>0</v>
      </c>
      <c r="P33" s="147">
        <v>0</v>
      </c>
      <c r="Q33" s="146">
        <v>0</v>
      </c>
      <c r="R33" s="146">
        <f t="shared" si="148"/>
        <v>0</v>
      </c>
      <c r="S33" s="147">
        <f t="shared" si="147"/>
        <v>0</v>
      </c>
      <c r="T33" s="147">
        <f t="shared" si="147"/>
        <v>0</v>
      </c>
      <c r="U33" s="146">
        <v>0</v>
      </c>
      <c r="V33" s="146">
        <f t="shared" si="149"/>
        <v>0</v>
      </c>
      <c r="W33" s="146">
        <v>0</v>
      </c>
      <c r="X33" s="146">
        <v>0</v>
      </c>
      <c r="Y33" s="147">
        <v>0</v>
      </c>
      <c r="Z33" s="147">
        <v>0</v>
      </c>
      <c r="AA33" s="148">
        <v>0</v>
      </c>
      <c r="AB33" s="147">
        <v>0</v>
      </c>
      <c r="AC33" s="147">
        <v>0</v>
      </c>
      <c r="AD33" s="147">
        <v>0</v>
      </c>
      <c r="AE33" s="146">
        <v>0</v>
      </c>
      <c r="AF33" s="146">
        <v>0</v>
      </c>
      <c r="AG33" s="147">
        <v>0</v>
      </c>
      <c r="AH33" s="147">
        <v>0</v>
      </c>
      <c r="AI33" s="147">
        <v>0</v>
      </c>
      <c r="AJ33" s="146">
        <v>0</v>
      </c>
      <c r="AK33" s="146">
        <v>0</v>
      </c>
      <c r="AL33" s="146">
        <v>0</v>
      </c>
      <c r="AM33" s="146">
        <v>0</v>
      </c>
      <c r="AN33" s="146">
        <v>0</v>
      </c>
      <c r="AO33" s="146">
        <v>0</v>
      </c>
      <c r="AP33" s="147">
        <v>0</v>
      </c>
      <c r="AQ33" s="146">
        <v>0</v>
      </c>
      <c r="AR33" s="146">
        <v>0</v>
      </c>
      <c r="AS33" s="147">
        <v>0</v>
      </c>
      <c r="AT33" s="147">
        <v>0</v>
      </c>
      <c r="AU33" s="146">
        <v>0</v>
      </c>
      <c r="AV33" s="146">
        <v>0</v>
      </c>
      <c r="AW33" s="146"/>
      <c r="AX33" s="146"/>
      <c r="AY33" s="146"/>
      <c r="AZ33" s="149">
        <f>AY33/C33</f>
        <v>0</v>
      </c>
      <c r="BA33" s="146">
        <v>0</v>
      </c>
      <c r="BB33" s="146">
        <v>0</v>
      </c>
    </row>
    <row r="34" spans="1:54" x14ac:dyDescent="0.2">
      <c r="A34" s="107"/>
      <c r="B34" s="108"/>
      <c r="C34" s="109"/>
      <c r="D34" s="110"/>
      <c r="E34" s="111"/>
      <c r="F34" s="110"/>
      <c r="G34" s="111"/>
      <c r="H34" s="110"/>
      <c r="I34" s="111"/>
      <c r="J34" s="113"/>
      <c r="K34" s="113"/>
      <c r="L34" s="113"/>
      <c r="M34" s="113"/>
      <c r="N34" s="113"/>
      <c r="O34" s="113"/>
      <c r="P34" s="113"/>
      <c r="Q34" s="110"/>
      <c r="R34" s="111"/>
      <c r="S34" s="113"/>
      <c r="T34" s="113"/>
      <c r="U34" s="110"/>
      <c r="V34" s="111"/>
      <c r="W34" s="110"/>
      <c r="X34" s="111"/>
      <c r="Y34" s="114"/>
      <c r="Z34" s="114"/>
      <c r="AA34" s="114"/>
      <c r="AB34" s="114"/>
      <c r="AC34" s="114"/>
      <c r="AD34" s="114"/>
      <c r="AE34" s="112"/>
      <c r="AF34" s="110"/>
      <c r="AG34" s="114"/>
      <c r="AH34" s="114"/>
      <c r="AI34" s="114"/>
      <c r="AJ34" s="110"/>
      <c r="AK34" s="110"/>
      <c r="AL34" s="110"/>
      <c r="AM34" s="110"/>
      <c r="AN34" s="112"/>
      <c r="AO34" s="110"/>
      <c r="AP34" s="114"/>
      <c r="AQ34" s="112"/>
      <c r="AR34" s="110"/>
      <c r="AS34" s="114"/>
      <c r="AT34" s="114"/>
      <c r="AU34" s="112"/>
      <c r="AV34" s="110"/>
      <c r="AW34" s="110"/>
      <c r="AX34" s="110"/>
      <c r="AY34" s="112"/>
      <c r="AZ34" s="110"/>
      <c r="BA34" s="110"/>
      <c r="BB34" s="111"/>
    </row>
    <row r="35" spans="1:54" x14ac:dyDescent="0.2">
      <c r="A35" s="196"/>
      <c r="B35" s="197" t="s">
        <v>22</v>
      </c>
      <c r="C35" s="197"/>
      <c r="D35" s="197"/>
      <c r="E35" s="197"/>
      <c r="F35" s="198"/>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9"/>
      <c r="AO35" s="197"/>
      <c r="AP35" s="197"/>
      <c r="AQ35" s="198"/>
      <c r="AR35" s="197"/>
      <c r="AS35" s="197"/>
      <c r="AT35" s="197"/>
      <c r="AU35" s="198"/>
      <c r="AV35" s="197"/>
      <c r="AW35" s="198"/>
      <c r="AX35" s="197"/>
      <c r="AY35" s="198"/>
      <c r="AZ35" s="200"/>
      <c r="BA35" s="197"/>
      <c r="BB35" s="201"/>
    </row>
    <row r="36" spans="1:54" x14ac:dyDescent="0.2">
      <c r="A36" s="115"/>
      <c r="B36" s="116"/>
      <c r="C36" s="117"/>
      <c r="D36" s="78"/>
      <c r="E36" s="118"/>
      <c r="F36" s="78"/>
      <c r="G36" s="118"/>
      <c r="H36" s="78"/>
      <c r="I36" s="118"/>
      <c r="J36" s="120"/>
      <c r="K36" s="120"/>
      <c r="L36" s="120"/>
      <c r="M36" s="120"/>
      <c r="N36" s="120"/>
      <c r="O36" s="120"/>
      <c r="P36" s="120"/>
      <c r="Q36" s="78"/>
      <c r="R36" s="118"/>
      <c r="S36" s="120"/>
      <c r="T36" s="120"/>
      <c r="U36" s="78"/>
      <c r="V36" s="118"/>
      <c r="W36" s="78"/>
      <c r="X36" s="118"/>
      <c r="Y36" s="121"/>
      <c r="Z36" s="121"/>
      <c r="AA36" s="121"/>
      <c r="AB36" s="121"/>
      <c r="AC36" s="121"/>
      <c r="AD36" s="121"/>
      <c r="AE36" s="119"/>
      <c r="AF36" s="78"/>
      <c r="AG36" s="121"/>
      <c r="AH36" s="121"/>
      <c r="AI36" s="121"/>
      <c r="AJ36" s="78"/>
      <c r="AK36" s="78"/>
      <c r="AL36" s="78"/>
      <c r="AM36" s="78"/>
      <c r="AN36" s="119"/>
      <c r="AO36" s="78"/>
      <c r="AP36" s="121"/>
      <c r="AQ36" s="119"/>
      <c r="AR36" s="78"/>
      <c r="AS36" s="121"/>
      <c r="AT36" s="121"/>
      <c r="AU36" s="119"/>
      <c r="AV36" s="78"/>
      <c r="AW36" s="78"/>
      <c r="AX36" s="78"/>
      <c r="AY36" s="119"/>
      <c r="AZ36" s="78"/>
      <c r="BA36" s="78"/>
      <c r="BB36" s="118"/>
    </row>
    <row r="37" spans="1:54" s="103" customFormat="1" x14ac:dyDescent="0.2">
      <c r="A37" s="122" t="s">
        <v>34</v>
      </c>
      <c r="B37" s="99" t="s">
        <v>45</v>
      </c>
      <c r="C37" s="100">
        <v>75</v>
      </c>
      <c r="D37" s="88">
        <f t="shared" ref="D37:D61" si="150">ROUND(E37*C37,1)</f>
        <v>4463.8999999999996</v>
      </c>
      <c r="E37" s="101">
        <f>RCF!$C$43</f>
        <v>59.519182319999999</v>
      </c>
      <c r="F37" s="88">
        <f t="shared" ref="F37:F61" si="151">ROUNDDOWN($C37*G37,1)</f>
        <v>1184.4000000000001</v>
      </c>
      <c r="G37" s="101">
        <f>RCF!C$5</f>
        <v>15.792</v>
      </c>
      <c r="H37" s="88">
        <f t="shared" ref="H37:H61" si="152">I37*C37</f>
        <v>1184.4000000000001</v>
      </c>
      <c r="I37" s="101">
        <f>G37</f>
        <v>15.792</v>
      </c>
      <c r="J37" s="97">
        <f t="shared" ref="J37:P46" si="153">$C37*$I37*J$6</f>
        <v>1302.8400000000001</v>
      </c>
      <c r="K37" s="97">
        <f t="shared" si="153"/>
        <v>1622.6280000000002</v>
      </c>
      <c r="L37" s="97">
        <f t="shared" si="153"/>
        <v>1741.0680000000002</v>
      </c>
      <c r="M37" s="97">
        <f t="shared" si="153"/>
        <v>1918.7280000000003</v>
      </c>
      <c r="N37" s="97">
        <f t="shared" si="153"/>
        <v>2368.8000000000002</v>
      </c>
      <c r="O37" s="97">
        <f t="shared" si="153"/>
        <v>2546.46</v>
      </c>
      <c r="P37" s="97">
        <f t="shared" si="153"/>
        <v>3553.2000000000003</v>
      </c>
      <c r="Q37" s="88">
        <f t="shared" ref="Q37:Q61" si="154">ROUNDDOWN($C37*R37,1)</f>
        <v>1161.7</v>
      </c>
      <c r="R37" s="101">
        <f>RCF!C$7</f>
        <v>15.49</v>
      </c>
      <c r="S37" s="97">
        <f t="shared" ref="S37:T61" si="155">ROUNDDOWN($Q37*S$6,1)</f>
        <v>1510.2</v>
      </c>
      <c r="T37" s="97">
        <f t="shared" si="155"/>
        <v>1742.5</v>
      </c>
      <c r="U37" s="88">
        <f t="shared" ref="U37:U61" si="156">ROUNDDOWN($C37*V37,1)</f>
        <v>1147.8</v>
      </c>
      <c r="V37" s="101">
        <f>RCF!C$9</f>
        <v>15.304</v>
      </c>
      <c r="W37" s="88">
        <f t="shared" ref="W37:W61" si="157">ROUNDDOWN($C37*X37,1)</f>
        <v>1147.8</v>
      </c>
      <c r="X37" s="101">
        <f>V37</f>
        <v>15.304</v>
      </c>
      <c r="Y37" s="97">
        <f t="shared" ref="Y37:Y61" si="158">ROUNDDOWN($W37*Y$6,1)</f>
        <v>1262.5</v>
      </c>
      <c r="Z37" s="97">
        <f t="shared" ref="Z37:AD46" si="159">ROUND($C37*$X37*Z$6,1)</f>
        <v>1572.5</v>
      </c>
      <c r="AA37" s="97">
        <f t="shared" si="159"/>
        <v>1859.4</v>
      </c>
      <c r="AB37" s="97">
        <f t="shared" si="159"/>
        <v>1687.3</v>
      </c>
      <c r="AC37" s="97">
        <f t="shared" si="159"/>
        <v>2490.6999999999998</v>
      </c>
      <c r="AD37" s="97">
        <f t="shared" si="159"/>
        <v>3443.4</v>
      </c>
      <c r="AE37" s="88">
        <f t="shared" ref="AE37:AE61" si="160">ROUNDDOWN($C37*AF37,1)</f>
        <v>1164</v>
      </c>
      <c r="AF37" s="101">
        <f>RCF!C$13</f>
        <v>15.52</v>
      </c>
      <c r="AG37" s="97">
        <f t="shared" ref="AG37:AI61" si="161">ROUND($AE37*AG$6,1)</f>
        <v>1920.6</v>
      </c>
      <c r="AH37" s="97">
        <f t="shared" si="161"/>
        <v>2444.4</v>
      </c>
      <c r="AI37" s="97">
        <f t="shared" si="161"/>
        <v>3492</v>
      </c>
      <c r="AJ37" s="88">
        <f t="shared" ref="AJ37:AJ61" si="162">ROUNDDOWN($C37*AK37,1)</f>
        <v>1177.2</v>
      </c>
      <c r="AK37" s="101">
        <f>RCF!C$25</f>
        <v>15.696666666666665</v>
      </c>
      <c r="AL37" s="88">
        <f t="shared" ref="AL37:AL61" si="163">ROUNDDOWN($C37*AM37,1)</f>
        <v>1552.5</v>
      </c>
      <c r="AM37" s="101">
        <f>RCF!C$29</f>
        <v>20.7</v>
      </c>
      <c r="AN37" s="88">
        <f t="shared" ref="AN37:AN61" si="164">ROUNDDOWN($C37*AO37,1)</f>
        <v>1242.7</v>
      </c>
      <c r="AO37" s="101">
        <f>RCF!C$33</f>
        <v>16.57</v>
      </c>
      <c r="AP37" s="97">
        <f t="shared" ref="AP37:AP61" si="165">ROUNDDOWN($AN37*AP$6,1)</f>
        <v>1864</v>
      </c>
      <c r="AQ37" s="88">
        <f t="shared" ref="AQ37:AQ61" si="166">ROUNDDOWN($C37*AR37,1)</f>
        <v>1234.5</v>
      </c>
      <c r="AR37" s="101">
        <f>RCF!C$35</f>
        <v>16.46</v>
      </c>
      <c r="AS37" s="97">
        <f t="shared" ref="AS37:AT61" si="167">ROUNDDOWN($AQ37*AS$6,1)</f>
        <v>1604.8</v>
      </c>
      <c r="AT37" s="97">
        <f t="shared" si="167"/>
        <v>1790</v>
      </c>
      <c r="AU37" s="88">
        <f t="shared" ref="AU37:AU61" si="168">ROUNDDOWN($C37*AV37,1)</f>
        <v>1218.5</v>
      </c>
      <c r="AV37" s="101">
        <f>RCF!C$37</f>
        <v>16.247</v>
      </c>
      <c r="AW37" s="102">
        <v>1214.0999999999999</v>
      </c>
      <c r="AX37" s="101"/>
      <c r="AY37" s="88">
        <f t="shared" ref="AY37:AY61" si="169">ROUNDDOWN($C37*AZ37,1)</f>
        <v>1240.5</v>
      </c>
      <c r="AZ37" s="101">
        <f>RCF!C$39</f>
        <v>16.54</v>
      </c>
      <c r="BA37" s="88">
        <f t="shared" ref="BA37:BA61" si="170">ROUNDDOWN($C37*BB37,1)</f>
        <v>1183.4000000000001</v>
      </c>
      <c r="BB37" s="101">
        <f>RCF!C$41</f>
        <v>15.779</v>
      </c>
    </row>
    <row r="38" spans="1:54" s="103" customFormat="1" x14ac:dyDescent="0.2">
      <c r="A38" s="122" t="s">
        <v>38</v>
      </c>
      <c r="B38" s="99" t="s">
        <v>46</v>
      </c>
      <c r="C38" s="100">
        <v>49</v>
      </c>
      <c r="D38" s="88">
        <f t="shared" si="150"/>
        <v>2916.4</v>
      </c>
      <c r="E38" s="101">
        <f>RCF!$C$43</f>
        <v>59.519182319999999</v>
      </c>
      <c r="F38" s="88">
        <f t="shared" si="151"/>
        <v>773.8</v>
      </c>
      <c r="G38" s="101">
        <f>RCF!C$5</f>
        <v>15.792</v>
      </c>
      <c r="H38" s="88">
        <f t="shared" si="152"/>
        <v>773.80799999999999</v>
      </c>
      <c r="I38" s="101">
        <f>G38</f>
        <v>15.792</v>
      </c>
      <c r="J38" s="97">
        <f t="shared" si="153"/>
        <v>851.18880000000001</v>
      </c>
      <c r="K38" s="97">
        <f t="shared" si="153"/>
        <v>1060.1169600000001</v>
      </c>
      <c r="L38" s="97">
        <f t="shared" si="153"/>
        <v>1137.49776</v>
      </c>
      <c r="M38" s="97">
        <f t="shared" si="153"/>
        <v>1253.5689600000001</v>
      </c>
      <c r="N38" s="97">
        <f t="shared" si="153"/>
        <v>1547.616</v>
      </c>
      <c r="O38" s="97">
        <f t="shared" si="153"/>
        <v>1663.6871999999998</v>
      </c>
      <c r="P38" s="97">
        <f t="shared" si="153"/>
        <v>2321.424</v>
      </c>
      <c r="Q38" s="88">
        <f t="shared" si="154"/>
        <v>759</v>
      </c>
      <c r="R38" s="101">
        <f>RCF!C$7</f>
        <v>15.49</v>
      </c>
      <c r="S38" s="97">
        <f t="shared" si="155"/>
        <v>986.7</v>
      </c>
      <c r="T38" s="97">
        <f t="shared" si="155"/>
        <v>1138.5</v>
      </c>
      <c r="U38" s="88">
        <f t="shared" si="156"/>
        <v>749.8</v>
      </c>
      <c r="V38" s="101">
        <f>RCF!C$9</f>
        <v>15.304</v>
      </c>
      <c r="W38" s="88">
        <f t="shared" si="157"/>
        <v>749.8</v>
      </c>
      <c r="X38" s="101">
        <f>V38</f>
        <v>15.304</v>
      </c>
      <c r="Y38" s="97">
        <f t="shared" si="158"/>
        <v>824.7</v>
      </c>
      <c r="Z38" s="97">
        <f t="shared" si="159"/>
        <v>1027.4000000000001</v>
      </c>
      <c r="AA38" s="97">
        <f t="shared" si="159"/>
        <v>1214.8</v>
      </c>
      <c r="AB38" s="97">
        <f t="shared" si="159"/>
        <v>1102.3</v>
      </c>
      <c r="AC38" s="97">
        <f t="shared" si="159"/>
        <v>1627.3</v>
      </c>
      <c r="AD38" s="97">
        <f t="shared" si="159"/>
        <v>2249.6999999999998</v>
      </c>
      <c r="AE38" s="88">
        <f t="shared" si="160"/>
        <v>760.4</v>
      </c>
      <c r="AF38" s="101">
        <f>RCF!C$13</f>
        <v>15.52</v>
      </c>
      <c r="AG38" s="97">
        <f t="shared" si="161"/>
        <v>1254.7</v>
      </c>
      <c r="AH38" s="97">
        <f t="shared" si="161"/>
        <v>1596.8</v>
      </c>
      <c r="AI38" s="97">
        <f t="shared" si="161"/>
        <v>2281.1999999999998</v>
      </c>
      <c r="AJ38" s="88">
        <f t="shared" si="162"/>
        <v>769.1</v>
      </c>
      <c r="AK38" s="101">
        <f>RCF!C$25</f>
        <v>15.696666666666665</v>
      </c>
      <c r="AL38" s="88">
        <f t="shared" si="163"/>
        <v>1014.3</v>
      </c>
      <c r="AM38" s="101">
        <f>RCF!C$29</f>
        <v>20.7</v>
      </c>
      <c r="AN38" s="88">
        <f t="shared" si="164"/>
        <v>811.9</v>
      </c>
      <c r="AO38" s="101">
        <f>RCF!C$33</f>
        <v>16.57</v>
      </c>
      <c r="AP38" s="97">
        <f t="shared" si="165"/>
        <v>1217.8</v>
      </c>
      <c r="AQ38" s="88">
        <f t="shared" si="166"/>
        <v>806.5</v>
      </c>
      <c r="AR38" s="101">
        <f>RCF!C$35</f>
        <v>16.46</v>
      </c>
      <c r="AS38" s="97">
        <f t="shared" si="167"/>
        <v>1048.4000000000001</v>
      </c>
      <c r="AT38" s="97">
        <f t="shared" si="167"/>
        <v>1169.4000000000001</v>
      </c>
      <c r="AU38" s="88">
        <f t="shared" si="168"/>
        <v>796.1</v>
      </c>
      <c r="AV38" s="101">
        <f>RCF!C$37</f>
        <v>16.247</v>
      </c>
      <c r="AW38" s="102">
        <v>793.2</v>
      </c>
      <c r="AX38" s="101"/>
      <c r="AY38" s="88">
        <f t="shared" si="169"/>
        <v>810.4</v>
      </c>
      <c r="AZ38" s="101">
        <f>RCF!C$39</f>
        <v>16.54</v>
      </c>
      <c r="BA38" s="88">
        <f t="shared" si="170"/>
        <v>773.1</v>
      </c>
      <c r="BB38" s="101">
        <f>RCF!C$41</f>
        <v>15.779</v>
      </c>
    </row>
    <row r="39" spans="1:54" s="103" customFormat="1" x14ac:dyDescent="0.2">
      <c r="A39" s="122" t="s">
        <v>30</v>
      </c>
      <c r="B39" s="99" t="s">
        <v>47</v>
      </c>
      <c r="C39" s="100">
        <v>26</v>
      </c>
      <c r="D39" s="88">
        <f t="shared" si="150"/>
        <v>1547.5</v>
      </c>
      <c r="E39" s="101">
        <f>RCF!$C$43</f>
        <v>59.519182319999999</v>
      </c>
      <c r="F39" s="88">
        <f t="shared" si="151"/>
        <v>410.5</v>
      </c>
      <c r="G39" s="101">
        <f>RCF!C$5</f>
        <v>15.792</v>
      </c>
      <c r="H39" s="88">
        <f t="shared" si="152"/>
        <v>410.59199999999998</v>
      </c>
      <c r="I39" s="101">
        <f>G39</f>
        <v>15.792</v>
      </c>
      <c r="J39" s="97">
        <f t="shared" si="153"/>
        <v>451.65120000000002</v>
      </c>
      <c r="K39" s="97">
        <f t="shared" si="153"/>
        <v>562.51103999999998</v>
      </c>
      <c r="L39" s="97">
        <f t="shared" si="153"/>
        <v>603.57024000000001</v>
      </c>
      <c r="M39" s="97">
        <f t="shared" si="153"/>
        <v>665.15904</v>
      </c>
      <c r="N39" s="97">
        <f t="shared" si="153"/>
        <v>821.18399999999997</v>
      </c>
      <c r="O39" s="97">
        <f t="shared" si="153"/>
        <v>882.77279999999996</v>
      </c>
      <c r="P39" s="97">
        <f t="shared" si="153"/>
        <v>1231.7759999999998</v>
      </c>
      <c r="Q39" s="88">
        <f t="shared" si="154"/>
        <v>402.7</v>
      </c>
      <c r="R39" s="101">
        <f>RCF!C$7</f>
        <v>15.49</v>
      </c>
      <c r="S39" s="97">
        <f t="shared" si="155"/>
        <v>523.5</v>
      </c>
      <c r="T39" s="97">
        <f t="shared" si="155"/>
        <v>604</v>
      </c>
      <c r="U39" s="88">
        <f t="shared" si="156"/>
        <v>397.9</v>
      </c>
      <c r="V39" s="101">
        <f>RCF!C$9</f>
        <v>15.304</v>
      </c>
      <c r="W39" s="88">
        <f t="shared" si="157"/>
        <v>397.9</v>
      </c>
      <c r="X39" s="101">
        <f>V39</f>
        <v>15.304</v>
      </c>
      <c r="Y39" s="97">
        <f t="shared" si="158"/>
        <v>437.6</v>
      </c>
      <c r="Z39" s="97">
        <f t="shared" si="159"/>
        <v>545.1</v>
      </c>
      <c r="AA39" s="97">
        <f t="shared" si="159"/>
        <v>644.6</v>
      </c>
      <c r="AB39" s="97">
        <f t="shared" si="159"/>
        <v>584.9</v>
      </c>
      <c r="AC39" s="97">
        <f t="shared" si="159"/>
        <v>863.5</v>
      </c>
      <c r="AD39" s="97">
        <f t="shared" si="159"/>
        <v>1193.7</v>
      </c>
      <c r="AE39" s="88">
        <f t="shared" si="160"/>
        <v>403.5</v>
      </c>
      <c r="AF39" s="101">
        <f>RCF!C$13</f>
        <v>15.52</v>
      </c>
      <c r="AG39" s="97">
        <f t="shared" si="161"/>
        <v>665.8</v>
      </c>
      <c r="AH39" s="97">
        <f t="shared" si="161"/>
        <v>847.4</v>
      </c>
      <c r="AI39" s="97">
        <f t="shared" si="161"/>
        <v>1210.5</v>
      </c>
      <c r="AJ39" s="88">
        <f t="shared" si="162"/>
        <v>408.1</v>
      </c>
      <c r="AK39" s="101">
        <f>RCF!C$25</f>
        <v>15.696666666666665</v>
      </c>
      <c r="AL39" s="88">
        <f t="shared" si="163"/>
        <v>538.20000000000005</v>
      </c>
      <c r="AM39" s="101">
        <f>RCF!C$29</f>
        <v>20.7</v>
      </c>
      <c r="AN39" s="88">
        <f t="shared" si="164"/>
        <v>430.8</v>
      </c>
      <c r="AO39" s="101">
        <f>RCF!C$33</f>
        <v>16.57</v>
      </c>
      <c r="AP39" s="97">
        <f t="shared" si="165"/>
        <v>646.20000000000005</v>
      </c>
      <c r="AQ39" s="88">
        <f t="shared" si="166"/>
        <v>427.9</v>
      </c>
      <c r="AR39" s="101">
        <f>RCF!C$35</f>
        <v>16.46</v>
      </c>
      <c r="AS39" s="97">
        <f t="shared" si="167"/>
        <v>556.20000000000005</v>
      </c>
      <c r="AT39" s="97">
        <f t="shared" si="167"/>
        <v>620.4</v>
      </c>
      <c r="AU39" s="88">
        <f t="shared" si="168"/>
        <v>422.4</v>
      </c>
      <c r="AV39" s="101">
        <f>RCF!C$37</f>
        <v>16.247</v>
      </c>
      <c r="AW39" s="102">
        <v>420.9</v>
      </c>
      <c r="AX39" s="101"/>
      <c r="AY39" s="88">
        <f t="shared" si="169"/>
        <v>430</v>
      </c>
      <c r="AZ39" s="101">
        <f>RCF!C$39</f>
        <v>16.54</v>
      </c>
      <c r="BA39" s="88">
        <f t="shared" si="170"/>
        <v>410.2</v>
      </c>
      <c r="BB39" s="101">
        <f>RCF!C$41</f>
        <v>15.779</v>
      </c>
    </row>
    <row r="40" spans="1:54" s="103" customFormat="1" ht="25.5" x14ac:dyDescent="0.2">
      <c r="A40" s="122" t="s">
        <v>31</v>
      </c>
      <c r="B40" s="99" t="s">
        <v>48</v>
      </c>
      <c r="C40" s="100">
        <v>31</v>
      </c>
      <c r="D40" s="88">
        <f t="shared" si="150"/>
        <v>1845.1</v>
      </c>
      <c r="E40" s="101">
        <f>RCF!$C$43</f>
        <v>59.519182319999999</v>
      </c>
      <c r="F40" s="88">
        <f t="shared" si="151"/>
        <v>489.5</v>
      </c>
      <c r="G40" s="101">
        <f>RCF!C$5</f>
        <v>15.792</v>
      </c>
      <c r="H40" s="88">
        <f t="shared" si="152"/>
        <v>489.55200000000002</v>
      </c>
      <c r="I40" s="101">
        <f>G40</f>
        <v>15.792</v>
      </c>
      <c r="J40" s="97">
        <f t="shared" si="153"/>
        <v>538.50720000000001</v>
      </c>
      <c r="K40" s="97">
        <f t="shared" si="153"/>
        <v>670.68624000000011</v>
      </c>
      <c r="L40" s="97">
        <f t="shared" si="153"/>
        <v>719.64143999999999</v>
      </c>
      <c r="M40" s="97">
        <f t="shared" si="153"/>
        <v>793.07424000000003</v>
      </c>
      <c r="N40" s="97">
        <f t="shared" si="153"/>
        <v>979.10400000000004</v>
      </c>
      <c r="O40" s="97">
        <f t="shared" si="153"/>
        <v>1052.5368000000001</v>
      </c>
      <c r="P40" s="97">
        <f t="shared" si="153"/>
        <v>1468.6559999999999</v>
      </c>
      <c r="Q40" s="88">
        <f t="shared" si="154"/>
        <v>480.1</v>
      </c>
      <c r="R40" s="101">
        <f>RCF!C$7</f>
        <v>15.49</v>
      </c>
      <c r="S40" s="97">
        <f t="shared" si="155"/>
        <v>624.1</v>
      </c>
      <c r="T40" s="97">
        <f t="shared" si="155"/>
        <v>720.1</v>
      </c>
      <c r="U40" s="88">
        <f t="shared" si="156"/>
        <v>474.4</v>
      </c>
      <c r="V40" s="101">
        <f>RCF!C$9</f>
        <v>15.304</v>
      </c>
      <c r="W40" s="88">
        <f t="shared" si="157"/>
        <v>474.4</v>
      </c>
      <c r="X40" s="101">
        <f>V40</f>
        <v>15.304</v>
      </c>
      <c r="Y40" s="97">
        <f t="shared" si="158"/>
        <v>521.79999999999995</v>
      </c>
      <c r="Z40" s="97">
        <f t="shared" si="159"/>
        <v>650</v>
      </c>
      <c r="AA40" s="97">
        <f t="shared" si="159"/>
        <v>768.6</v>
      </c>
      <c r="AB40" s="97">
        <f t="shared" si="159"/>
        <v>697.4</v>
      </c>
      <c r="AC40" s="97">
        <f t="shared" si="159"/>
        <v>1029.5</v>
      </c>
      <c r="AD40" s="97">
        <f t="shared" si="159"/>
        <v>1423.3</v>
      </c>
      <c r="AE40" s="88">
        <f t="shared" si="160"/>
        <v>481.1</v>
      </c>
      <c r="AF40" s="101">
        <f>RCF!C$13</f>
        <v>15.52</v>
      </c>
      <c r="AG40" s="97">
        <f t="shared" si="161"/>
        <v>793.8</v>
      </c>
      <c r="AH40" s="97">
        <f t="shared" si="161"/>
        <v>1010.3</v>
      </c>
      <c r="AI40" s="97">
        <f t="shared" si="161"/>
        <v>1443.3</v>
      </c>
      <c r="AJ40" s="88">
        <f t="shared" si="162"/>
        <v>486.5</v>
      </c>
      <c r="AK40" s="101">
        <f>RCF!C$25</f>
        <v>15.696666666666665</v>
      </c>
      <c r="AL40" s="88">
        <f t="shared" si="163"/>
        <v>641.70000000000005</v>
      </c>
      <c r="AM40" s="101">
        <f>RCF!C$29</f>
        <v>20.7</v>
      </c>
      <c r="AN40" s="88">
        <f t="shared" si="164"/>
        <v>513.6</v>
      </c>
      <c r="AO40" s="101">
        <f>RCF!C$33</f>
        <v>16.57</v>
      </c>
      <c r="AP40" s="97">
        <f t="shared" si="165"/>
        <v>770.4</v>
      </c>
      <c r="AQ40" s="88">
        <f t="shared" si="166"/>
        <v>510.2</v>
      </c>
      <c r="AR40" s="101">
        <f>RCF!C$35</f>
        <v>16.46</v>
      </c>
      <c r="AS40" s="97">
        <f t="shared" si="167"/>
        <v>663.2</v>
      </c>
      <c r="AT40" s="97">
        <f t="shared" si="167"/>
        <v>739.7</v>
      </c>
      <c r="AU40" s="88">
        <f t="shared" si="168"/>
        <v>503.6</v>
      </c>
      <c r="AV40" s="101">
        <f>RCF!C$37</f>
        <v>16.247</v>
      </c>
      <c r="AW40" s="102">
        <v>501.8</v>
      </c>
      <c r="AX40" s="101"/>
      <c r="AY40" s="88">
        <f t="shared" si="169"/>
        <v>512.70000000000005</v>
      </c>
      <c r="AZ40" s="101">
        <f>RCF!C$39</f>
        <v>16.54</v>
      </c>
      <c r="BA40" s="88">
        <f t="shared" si="170"/>
        <v>489.1</v>
      </c>
      <c r="BB40" s="101">
        <f>RCF!C$41</f>
        <v>15.779</v>
      </c>
    </row>
    <row r="41" spans="1:54" s="103" customFormat="1" x14ac:dyDescent="0.2">
      <c r="A41" s="122" t="s">
        <v>77</v>
      </c>
      <c r="B41" s="99" t="s">
        <v>78</v>
      </c>
      <c r="C41" s="100">
        <v>30</v>
      </c>
      <c r="D41" s="88">
        <f t="shared" si="150"/>
        <v>1785.6</v>
      </c>
      <c r="E41" s="101">
        <f>RCF!$C$43</f>
        <v>59.519182319999999</v>
      </c>
      <c r="F41" s="88">
        <f t="shared" si="151"/>
        <v>449</v>
      </c>
      <c r="G41" s="101">
        <f>RCF!C$5/1.055</f>
        <v>14.968720379146919</v>
      </c>
      <c r="H41" s="88">
        <f t="shared" si="152"/>
        <v>473.76</v>
      </c>
      <c r="I41" s="101">
        <f>RCF!C$5</f>
        <v>15.792</v>
      </c>
      <c r="J41" s="97">
        <f t="shared" si="153"/>
        <v>521.13600000000008</v>
      </c>
      <c r="K41" s="97">
        <f t="shared" si="153"/>
        <v>649.05119999999999</v>
      </c>
      <c r="L41" s="97">
        <f t="shared" si="153"/>
        <v>696.42719999999997</v>
      </c>
      <c r="M41" s="97">
        <f t="shared" si="153"/>
        <v>767.49120000000005</v>
      </c>
      <c r="N41" s="97">
        <f t="shared" si="153"/>
        <v>947.52</v>
      </c>
      <c r="O41" s="97">
        <f t="shared" si="153"/>
        <v>1018.5839999999999</v>
      </c>
      <c r="P41" s="97">
        <f t="shared" si="153"/>
        <v>1421.28</v>
      </c>
      <c r="Q41" s="88">
        <f t="shared" si="154"/>
        <v>464.7</v>
      </c>
      <c r="R41" s="101">
        <f>RCF!C$7</f>
        <v>15.49</v>
      </c>
      <c r="S41" s="97">
        <f t="shared" si="155"/>
        <v>604.1</v>
      </c>
      <c r="T41" s="97">
        <f t="shared" si="155"/>
        <v>697</v>
      </c>
      <c r="U41" s="88">
        <f t="shared" si="156"/>
        <v>434.9</v>
      </c>
      <c r="V41" s="101">
        <f>RCF!S$54</f>
        <v>14.496666666666666</v>
      </c>
      <c r="W41" s="88">
        <f t="shared" si="157"/>
        <v>463.3</v>
      </c>
      <c r="X41" s="101">
        <f>RCF!S$56</f>
        <v>15.443333333333333</v>
      </c>
      <c r="Y41" s="97">
        <f t="shared" si="158"/>
        <v>509.6</v>
      </c>
      <c r="Z41" s="97">
        <f t="shared" si="159"/>
        <v>634.70000000000005</v>
      </c>
      <c r="AA41" s="97">
        <f t="shared" si="159"/>
        <v>750.5</v>
      </c>
      <c r="AB41" s="97">
        <f t="shared" si="159"/>
        <v>681.1</v>
      </c>
      <c r="AC41" s="97">
        <f t="shared" si="159"/>
        <v>1005.4</v>
      </c>
      <c r="AD41" s="97">
        <f t="shared" si="159"/>
        <v>1389.9</v>
      </c>
      <c r="AE41" s="88">
        <f t="shared" si="160"/>
        <v>465.6</v>
      </c>
      <c r="AF41" s="101">
        <f>RCF!C$13</f>
        <v>15.52</v>
      </c>
      <c r="AG41" s="97">
        <f t="shared" si="161"/>
        <v>768.2</v>
      </c>
      <c r="AH41" s="97">
        <f t="shared" si="161"/>
        <v>977.8</v>
      </c>
      <c r="AI41" s="97">
        <f t="shared" si="161"/>
        <v>1396.8</v>
      </c>
      <c r="AJ41" s="88">
        <f t="shared" si="162"/>
        <v>470.9</v>
      </c>
      <c r="AK41" s="101">
        <f>RCF!C$25</f>
        <v>15.696666666666665</v>
      </c>
      <c r="AL41" s="88">
        <f t="shared" si="163"/>
        <v>621</v>
      </c>
      <c r="AM41" s="101">
        <f>RCF!C$29</f>
        <v>20.7</v>
      </c>
      <c r="AN41" s="88">
        <f t="shared" si="164"/>
        <v>497.1</v>
      </c>
      <c r="AO41" s="101">
        <f>RCF!C$33</f>
        <v>16.57</v>
      </c>
      <c r="AP41" s="97">
        <f t="shared" si="165"/>
        <v>745.6</v>
      </c>
      <c r="AQ41" s="88">
        <f t="shared" si="166"/>
        <v>493.8</v>
      </c>
      <c r="AR41" s="101">
        <f>RCF!C$35</f>
        <v>16.46</v>
      </c>
      <c r="AS41" s="97">
        <f t="shared" si="167"/>
        <v>641.9</v>
      </c>
      <c r="AT41" s="97">
        <f t="shared" si="167"/>
        <v>716</v>
      </c>
      <c r="AU41" s="88">
        <f t="shared" si="168"/>
        <v>487.4</v>
      </c>
      <c r="AV41" s="101">
        <f>RCF!C$37</f>
        <v>16.247</v>
      </c>
      <c r="AW41" s="102">
        <v>485.6</v>
      </c>
      <c r="AX41" s="101"/>
      <c r="AY41" s="88">
        <f t="shared" si="169"/>
        <v>496.2</v>
      </c>
      <c r="AZ41" s="101">
        <f>RCF!C$39</f>
        <v>16.54</v>
      </c>
      <c r="BA41" s="88">
        <f t="shared" si="170"/>
        <v>473.3</v>
      </c>
      <c r="BB41" s="101">
        <f>RCF!C$41</f>
        <v>15.779</v>
      </c>
    </row>
    <row r="42" spans="1:54" s="103" customFormat="1" ht="25.5" x14ac:dyDescent="0.2">
      <c r="A42" s="122" t="s">
        <v>26</v>
      </c>
      <c r="B42" s="99" t="s">
        <v>79</v>
      </c>
      <c r="C42" s="100">
        <v>100</v>
      </c>
      <c r="D42" s="88">
        <f t="shared" si="150"/>
        <v>5951.9</v>
      </c>
      <c r="E42" s="101">
        <f>RCF!$C$43</f>
        <v>59.519182319999999</v>
      </c>
      <c r="F42" s="88">
        <f t="shared" si="151"/>
        <v>1496.8</v>
      </c>
      <c r="G42" s="101">
        <f>RCF!C$5/1.055</f>
        <v>14.968720379146919</v>
      </c>
      <c r="H42" s="88">
        <f t="shared" si="152"/>
        <v>1579.2</v>
      </c>
      <c r="I42" s="101">
        <f>RCF!C$5</f>
        <v>15.792</v>
      </c>
      <c r="J42" s="97">
        <f t="shared" si="153"/>
        <v>1737.1200000000001</v>
      </c>
      <c r="K42" s="97">
        <f t="shared" si="153"/>
        <v>2163.5040000000004</v>
      </c>
      <c r="L42" s="97">
        <f t="shared" si="153"/>
        <v>2321.424</v>
      </c>
      <c r="M42" s="97">
        <f t="shared" si="153"/>
        <v>2558.3040000000001</v>
      </c>
      <c r="N42" s="97">
        <f t="shared" si="153"/>
        <v>3158.4</v>
      </c>
      <c r="O42" s="97">
        <f t="shared" si="153"/>
        <v>3395.2799999999997</v>
      </c>
      <c r="P42" s="97">
        <f t="shared" si="153"/>
        <v>4737.6000000000004</v>
      </c>
      <c r="Q42" s="88">
        <f t="shared" si="154"/>
        <v>1549</v>
      </c>
      <c r="R42" s="101">
        <f>RCF!C$7</f>
        <v>15.49</v>
      </c>
      <c r="S42" s="97">
        <f t="shared" si="155"/>
        <v>2013.7</v>
      </c>
      <c r="T42" s="97">
        <f t="shared" si="155"/>
        <v>2323.5</v>
      </c>
      <c r="U42" s="88">
        <f t="shared" si="156"/>
        <v>1449.6</v>
      </c>
      <c r="V42" s="101">
        <f>RCF!S$54</f>
        <v>14.496666666666666</v>
      </c>
      <c r="W42" s="88">
        <f t="shared" si="157"/>
        <v>1544.3</v>
      </c>
      <c r="X42" s="101">
        <f>RCF!S$56</f>
        <v>15.443333333333333</v>
      </c>
      <c r="Y42" s="97">
        <f t="shared" si="158"/>
        <v>1698.7</v>
      </c>
      <c r="Z42" s="97">
        <f t="shared" si="159"/>
        <v>2115.6999999999998</v>
      </c>
      <c r="AA42" s="97">
        <f t="shared" si="159"/>
        <v>2501.8000000000002</v>
      </c>
      <c r="AB42" s="97">
        <f t="shared" si="159"/>
        <v>2270.1999999999998</v>
      </c>
      <c r="AC42" s="97">
        <f t="shared" si="159"/>
        <v>3351.2</v>
      </c>
      <c r="AD42" s="97">
        <f t="shared" si="159"/>
        <v>4633</v>
      </c>
      <c r="AE42" s="88">
        <f t="shared" si="160"/>
        <v>1552</v>
      </c>
      <c r="AF42" s="101">
        <f>RCF!C$13</f>
        <v>15.52</v>
      </c>
      <c r="AG42" s="97">
        <f t="shared" si="161"/>
        <v>2560.8000000000002</v>
      </c>
      <c r="AH42" s="97">
        <f t="shared" si="161"/>
        <v>3259.2</v>
      </c>
      <c r="AI42" s="97">
        <f t="shared" si="161"/>
        <v>4656</v>
      </c>
      <c r="AJ42" s="88">
        <f t="shared" si="162"/>
        <v>1569.6</v>
      </c>
      <c r="AK42" s="101">
        <f>RCF!C$25</f>
        <v>15.696666666666665</v>
      </c>
      <c r="AL42" s="88">
        <f t="shared" si="163"/>
        <v>2070</v>
      </c>
      <c r="AM42" s="101">
        <f>RCF!C$29</f>
        <v>20.7</v>
      </c>
      <c r="AN42" s="88">
        <f t="shared" si="164"/>
        <v>1657</v>
      </c>
      <c r="AO42" s="101">
        <f>RCF!C$33</f>
        <v>16.57</v>
      </c>
      <c r="AP42" s="97">
        <f t="shared" si="165"/>
        <v>2485.5</v>
      </c>
      <c r="AQ42" s="88">
        <f t="shared" si="166"/>
        <v>1646</v>
      </c>
      <c r="AR42" s="101">
        <f>RCF!C$35</f>
        <v>16.46</v>
      </c>
      <c r="AS42" s="97">
        <f t="shared" si="167"/>
        <v>2139.8000000000002</v>
      </c>
      <c r="AT42" s="97">
        <f t="shared" si="167"/>
        <v>2386.6999999999998</v>
      </c>
      <c r="AU42" s="88">
        <f t="shared" si="168"/>
        <v>1624.7</v>
      </c>
      <c r="AV42" s="101">
        <f>RCF!C$37</f>
        <v>16.247</v>
      </c>
      <c r="AW42" s="102">
        <v>1618.8</v>
      </c>
      <c r="AX42" s="101"/>
      <c r="AY42" s="88">
        <f t="shared" si="169"/>
        <v>1654</v>
      </c>
      <c r="AZ42" s="101">
        <f>RCF!C$39</f>
        <v>16.54</v>
      </c>
      <c r="BA42" s="88">
        <f t="shared" si="170"/>
        <v>1577.9</v>
      </c>
      <c r="BB42" s="101">
        <f>RCF!C$41</f>
        <v>15.779</v>
      </c>
    </row>
    <row r="43" spans="1:54" s="103" customFormat="1" ht="25.5" x14ac:dyDescent="0.2">
      <c r="A43" s="122" t="s">
        <v>24</v>
      </c>
      <c r="B43" s="99" t="s">
        <v>80</v>
      </c>
      <c r="C43" s="100">
        <v>50</v>
      </c>
      <c r="D43" s="88">
        <f t="shared" si="150"/>
        <v>2976</v>
      </c>
      <c r="E43" s="101">
        <f>RCF!$C$43</f>
        <v>59.519182319999999</v>
      </c>
      <c r="F43" s="88">
        <f t="shared" si="151"/>
        <v>748.4</v>
      </c>
      <c r="G43" s="101">
        <f>RCF!C$5/1.055</f>
        <v>14.968720379146919</v>
      </c>
      <c r="H43" s="88">
        <f t="shared" si="152"/>
        <v>789.6</v>
      </c>
      <c r="I43" s="101">
        <f>RCF!C$5</f>
        <v>15.792</v>
      </c>
      <c r="J43" s="97">
        <f t="shared" si="153"/>
        <v>868.56000000000006</v>
      </c>
      <c r="K43" s="97">
        <f t="shared" si="153"/>
        <v>1081.7520000000002</v>
      </c>
      <c r="L43" s="97">
        <f t="shared" si="153"/>
        <v>1160.712</v>
      </c>
      <c r="M43" s="97">
        <f t="shared" si="153"/>
        <v>1279.152</v>
      </c>
      <c r="N43" s="97">
        <f t="shared" si="153"/>
        <v>1579.2</v>
      </c>
      <c r="O43" s="97">
        <f t="shared" si="153"/>
        <v>1697.6399999999999</v>
      </c>
      <c r="P43" s="97">
        <f t="shared" si="153"/>
        <v>2368.8000000000002</v>
      </c>
      <c r="Q43" s="88">
        <f t="shared" si="154"/>
        <v>774.5</v>
      </c>
      <c r="R43" s="101">
        <f>RCF!C$7</f>
        <v>15.49</v>
      </c>
      <c r="S43" s="97">
        <f t="shared" si="155"/>
        <v>1006.8</v>
      </c>
      <c r="T43" s="97">
        <f t="shared" si="155"/>
        <v>1161.7</v>
      </c>
      <c r="U43" s="88">
        <f t="shared" si="156"/>
        <v>724.8</v>
      </c>
      <c r="V43" s="101">
        <f>RCF!S$54</f>
        <v>14.496666666666666</v>
      </c>
      <c r="W43" s="88">
        <f t="shared" si="157"/>
        <v>772.1</v>
      </c>
      <c r="X43" s="101">
        <f>RCF!S$56</f>
        <v>15.443333333333333</v>
      </c>
      <c r="Y43" s="97">
        <f t="shared" si="158"/>
        <v>849.3</v>
      </c>
      <c r="Z43" s="97">
        <f t="shared" si="159"/>
        <v>1057.9000000000001</v>
      </c>
      <c r="AA43" s="97">
        <f t="shared" si="159"/>
        <v>1250.9000000000001</v>
      </c>
      <c r="AB43" s="97">
        <f t="shared" si="159"/>
        <v>1135.0999999999999</v>
      </c>
      <c r="AC43" s="97">
        <f t="shared" si="159"/>
        <v>1675.6</v>
      </c>
      <c r="AD43" s="97">
        <f t="shared" si="159"/>
        <v>2316.5</v>
      </c>
      <c r="AE43" s="88">
        <f t="shared" si="160"/>
        <v>776</v>
      </c>
      <c r="AF43" s="101">
        <f>RCF!C$13</f>
        <v>15.52</v>
      </c>
      <c r="AG43" s="97">
        <f t="shared" si="161"/>
        <v>1280.4000000000001</v>
      </c>
      <c r="AH43" s="97">
        <f t="shared" si="161"/>
        <v>1629.6</v>
      </c>
      <c r="AI43" s="97">
        <f t="shared" si="161"/>
        <v>2328</v>
      </c>
      <c r="AJ43" s="88">
        <f t="shared" si="162"/>
        <v>784.8</v>
      </c>
      <c r="AK43" s="101">
        <f>RCF!C$25</f>
        <v>15.696666666666665</v>
      </c>
      <c r="AL43" s="88">
        <f t="shared" si="163"/>
        <v>1035</v>
      </c>
      <c r="AM43" s="101">
        <f>RCF!C$29</f>
        <v>20.7</v>
      </c>
      <c r="AN43" s="88">
        <f t="shared" si="164"/>
        <v>828.5</v>
      </c>
      <c r="AO43" s="101">
        <f>RCF!C$33</f>
        <v>16.57</v>
      </c>
      <c r="AP43" s="97">
        <f t="shared" si="165"/>
        <v>1242.7</v>
      </c>
      <c r="AQ43" s="88">
        <f t="shared" si="166"/>
        <v>823</v>
      </c>
      <c r="AR43" s="101">
        <f>RCF!C$35</f>
        <v>16.46</v>
      </c>
      <c r="AS43" s="97">
        <f t="shared" si="167"/>
        <v>1069.9000000000001</v>
      </c>
      <c r="AT43" s="97">
        <f t="shared" si="167"/>
        <v>1193.3</v>
      </c>
      <c r="AU43" s="88">
        <f t="shared" si="168"/>
        <v>812.3</v>
      </c>
      <c r="AV43" s="101">
        <f>RCF!C$37</f>
        <v>16.247</v>
      </c>
      <c r="AW43" s="102">
        <v>809.4</v>
      </c>
      <c r="AX43" s="101"/>
      <c r="AY43" s="88">
        <f t="shared" si="169"/>
        <v>827</v>
      </c>
      <c r="AZ43" s="101">
        <f>RCF!C$39</f>
        <v>16.54</v>
      </c>
      <c r="BA43" s="88">
        <f t="shared" si="170"/>
        <v>788.9</v>
      </c>
      <c r="BB43" s="101">
        <f>RCF!C$41</f>
        <v>15.779</v>
      </c>
    </row>
    <row r="44" spans="1:54" s="103" customFormat="1" ht="63.75" x14ac:dyDescent="0.2">
      <c r="A44" s="135" t="s">
        <v>81</v>
      </c>
      <c r="B44" s="136" t="s">
        <v>82</v>
      </c>
      <c r="C44" s="137">
        <v>30</v>
      </c>
      <c r="D44" s="88">
        <f t="shared" si="150"/>
        <v>1785.6</v>
      </c>
      <c r="E44" s="101">
        <f>RCF!$C$43</f>
        <v>59.519182319999999</v>
      </c>
      <c r="F44" s="88">
        <f t="shared" si="151"/>
        <v>449</v>
      </c>
      <c r="G44" s="101">
        <f>RCF!C$5/1.055</f>
        <v>14.968720379146919</v>
      </c>
      <c r="H44" s="88">
        <f t="shared" si="152"/>
        <v>473.76</v>
      </c>
      <c r="I44" s="101">
        <f>RCF!C$5</f>
        <v>15.792</v>
      </c>
      <c r="J44" s="97">
        <f t="shared" si="153"/>
        <v>521.13600000000008</v>
      </c>
      <c r="K44" s="97">
        <f t="shared" si="153"/>
        <v>649.05119999999999</v>
      </c>
      <c r="L44" s="97">
        <f t="shared" si="153"/>
        <v>696.42719999999997</v>
      </c>
      <c r="M44" s="97">
        <f t="shared" si="153"/>
        <v>767.49120000000005</v>
      </c>
      <c r="N44" s="97">
        <f t="shared" si="153"/>
        <v>947.52</v>
      </c>
      <c r="O44" s="97">
        <f t="shared" si="153"/>
        <v>1018.5839999999999</v>
      </c>
      <c r="P44" s="97">
        <f t="shared" si="153"/>
        <v>1421.28</v>
      </c>
      <c r="Q44" s="88">
        <f t="shared" si="154"/>
        <v>464.7</v>
      </c>
      <c r="R44" s="101">
        <f>RCF!C$7</f>
        <v>15.49</v>
      </c>
      <c r="S44" s="97">
        <f t="shared" si="155"/>
        <v>604.1</v>
      </c>
      <c r="T44" s="97">
        <f t="shared" si="155"/>
        <v>697</v>
      </c>
      <c r="U44" s="88">
        <f t="shared" si="156"/>
        <v>434.9</v>
      </c>
      <c r="V44" s="101">
        <f>RCF!S$54</f>
        <v>14.496666666666666</v>
      </c>
      <c r="W44" s="88">
        <f t="shared" si="157"/>
        <v>463.3</v>
      </c>
      <c r="X44" s="101">
        <f>RCF!S$56</f>
        <v>15.443333333333333</v>
      </c>
      <c r="Y44" s="97">
        <f t="shared" si="158"/>
        <v>509.6</v>
      </c>
      <c r="Z44" s="97">
        <f t="shared" si="159"/>
        <v>634.70000000000005</v>
      </c>
      <c r="AA44" s="97">
        <f t="shared" si="159"/>
        <v>750.5</v>
      </c>
      <c r="AB44" s="97">
        <f t="shared" si="159"/>
        <v>681.1</v>
      </c>
      <c r="AC44" s="97">
        <f t="shared" si="159"/>
        <v>1005.4</v>
      </c>
      <c r="AD44" s="97">
        <f t="shared" si="159"/>
        <v>1389.9</v>
      </c>
      <c r="AE44" s="88">
        <f t="shared" si="160"/>
        <v>465.6</v>
      </c>
      <c r="AF44" s="101">
        <f>RCF!C$13</f>
        <v>15.52</v>
      </c>
      <c r="AG44" s="97">
        <f t="shared" si="161"/>
        <v>768.2</v>
      </c>
      <c r="AH44" s="97">
        <f t="shared" si="161"/>
        <v>977.8</v>
      </c>
      <c r="AI44" s="97">
        <f t="shared" si="161"/>
        <v>1396.8</v>
      </c>
      <c r="AJ44" s="88">
        <f t="shared" si="162"/>
        <v>470.9</v>
      </c>
      <c r="AK44" s="101">
        <f>RCF!C$25</f>
        <v>15.696666666666665</v>
      </c>
      <c r="AL44" s="88">
        <f t="shared" si="163"/>
        <v>621</v>
      </c>
      <c r="AM44" s="101">
        <f>RCF!C$29</f>
        <v>20.7</v>
      </c>
      <c r="AN44" s="88">
        <f t="shared" si="164"/>
        <v>497.1</v>
      </c>
      <c r="AO44" s="101">
        <f>RCF!C$33</f>
        <v>16.57</v>
      </c>
      <c r="AP44" s="97">
        <f t="shared" si="165"/>
        <v>745.6</v>
      </c>
      <c r="AQ44" s="88">
        <f t="shared" si="166"/>
        <v>493.8</v>
      </c>
      <c r="AR44" s="101">
        <f>RCF!C$35</f>
        <v>16.46</v>
      </c>
      <c r="AS44" s="97">
        <f t="shared" si="167"/>
        <v>641.9</v>
      </c>
      <c r="AT44" s="97">
        <f t="shared" si="167"/>
        <v>716</v>
      </c>
      <c r="AU44" s="88">
        <f t="shared" si="168"/>
        <v>487.4</v>
      </c>
      <c r="AV44" s="101">
        <f>RCF!C$37</f>
        <v>16.247</v>
      </c>
      <c r="AW44" s="102">
        <v>485.6</v>
      </c>
      <c r="AX44" s="101"/>
      <c r="AY44" s="88">
        <f t="shared" si="169"/>
        <v>496.2</v>
      </c>
      <c r="AZ44" s="101">
        <f>RCF!C$39</f>
        <v>16.54</v>
      </c>
      <c r="BA44" s="88">
        <f t="shared" si="170"/>
        <v>473.3</v>
      </c>
      <c r="BB44" s="101">
        <f>RCF!C$41</f>
        <v>15.779</v>
      </c>
    </row>
    <row r="45" spans="1:54" s="103" customFormat="1" ht="38.25" x14ac:dyDescent="0.2">
      <c r="A45" s="135" t="s">
        <v>83</v>
      </c>
      <c r="B45" s="136" t="s">
        <v>84</v>
      </c>
      <c r="C45" s="137">
        <v>137</v>
      </c>
      <c r="D45" s="88">
        <f t="shared" si="150"/>
        <v>8154.1</v>
      </c>
      <c r="E45" s="101">
        <f>RCF!$C$43</f>
        <v>59.519182319999999</v>
      </c>
      <c r="F45" s="88">
        <f t="shared" si="151"/>
        <v>2050.6999999999998</v>
      </c>
      <c r="G45" s="101">
        <f>RCF!C$5/1.055</f>
        <v>14.968720379146919</v>
      </c>
      <c r="H45" s="88">
        <f t="shared" si="152"/>
        <v>2163.5039999999999</v>
      </c>
      <c r="I45" s="101">
        <f>RCF!C$5</f>
        <v>15.792</v>
      </c>
      <c r="J45" s="97">
        <f t="shared" si="153"/>
        <v>2379.8544000000002</v>
      </c>
      <c r="K45" s="97">
        <f t="shared" si="153"/>
        <v>2964.0004800000002</v>
      </c>
      <c r="L45" s="97">
        <f t="shared" si="153"/>
        <v>3180.35088</v>
      </c>
      <c r="M45" s="97">
        <f t="shared" si="153"/>
        <v>3504.8764799999999</v>
      </c>
      <c r="N45" s="97">
        <f t="shared" si="153"/>
        <v>4327.0079999999998</v>
      </c>
      <c r="O45" s="97">
        <f t="shared" si="153"/>
        <v>4651.5335999999998</v>
      </c>
      <c r="P45" s="97">
        <f t="shared" si="153"/>
        <v>6490.5119999999997</v>
      </c>
      <c r="Q45" s="88">
        <f t="shared" si="154"/>
        <v>2122.1</v>
      </c>
      <c r="R45" s="101">
        <f>RCF!C$7</f>
        <v>15.49</v>
      </c>
      <c r="S45" s="97">
        <f t="shared" si="155"/>
        <v>2758.7</v>
      </c>
      <c r="T45" s="97">
        <f t="shared" si="155"/>
        <v>3183.1</v>
      </c>
      <c r="U45" s="88">
        <f t="shared" si="156"/>
        <v>1986</v>
      </c>
      <c r="V45" s="101">
        <f>RCF!S$54</f>
        <v>14.496666666666666</v>
      </c>
      <c r="W45" s="88">
        <f t="shared" si="157"/>
        <v>2115.6999999999998</v>
      </c>
      <c r="X45" s="101">
        <f>RCF!S$56</f>
        <v>15.443333333333333</v>
      </c>
      <c r="Y45" s="97">
        <f t="shared" si="158"/>
        <v>2327.1999999999998</v>
      </c>
      <c r="Z45" s="97">
        <f t="shared" si="159"/>
        <v>2898.6</v>
      </c>
      <c r="AA45" s="97">
        <f t="shared" si="159"/>
        <v>3427.5</v>
      </c>
      <c r="AB45" s="97">
        <f t="shared" si="159"/>
        <v>3110.1</v>
      </c>
      <c r="AC45" s="97">
        <f t="shared" si="159"/>
        <v>4591.1000000000004</v>
      </c>
      <c r="AD45" s="97">
        <f t="shared" si="159"/>
        <v>6347.2</v>
      </c>
      <c r="AE45" s="88">
        <f t="shared" si="160"/>
        <v>2126.1999999999998</v>
      </c>
      <c r="AF45" s="101">
        <f>RCF!C$13</f>
        <v>15.52</v>
      </c>
      <c r="AG45" s="97">
        <f t="shared" si="161"/>
        <v>3508.2</v>
      </c>
      <c r="AH45" s="97">
        <f t="shared" si="161"/>
        <v>4465</v>
      </c>
      <c r="AI45" s="97">
        <f t="shared" si="161"/>
        <v>6378.6</v>
      </c>
      <c r="AJ45" s="88">
        <f t="shared" si="162"/>
        <v>2150.4</v>
      </c>
      <c r="AK45" s="101">
        <f>RCF!C$25</f>
        <v>15.696666666666665</v>
      </c>
      <c r="AL45" s="88">
        <f t="shared" si="163"/>
        <v>2835.9</v>
      </c>
      <c r="AM45" s="101">
        <f>RCF!C$29</f>
        <v>20.7</v>
      </c>
      <c r="AN45" s="88">
        <f t="shared" si="164"/>
        <v>2270</v>
      </c>
      <c r="AO45" s="101">
        <f>RCF!C$33</f>
        <v>16.57</v>
      </c>
      <c r="AP45" s="97">
        <f t="shared" si="165"/>
        <v>3405</v>
      </c>
      <c r="AQ45" s="88">
        <f t="shared" si="166"/>
        <v>2255</v>
      </c>
      <c r="AR45" s="101">
        <f>RCF!C$35</f>
        <v>16.46</v>
      </c>
      <c r="AS45" s="97">
        <f t="shared" si="167"/>
        <v>2931.5</v>
      </c>
      <c r="AT45" s="97">
        <f t="shared" si="167"/>
        <v>3269.7</v>
      </c>
      <c r="AU45" s="88">
        <f t="shared" si="168"/>
        <v>2225.8000000000002</v>
      </c>
      <c r="AV45" s="101">
        <f>RCF!C$37</f>
        <v>16.247</v>
      </c>
      <c r="AW45" s="102">
        <v>2217.8000000000002</v>
      </c>
      <c r="AX45" s="101"/>
      <c r="AY45" s="88">
        <f t="shared" si="169"/>
        <v>2265.9</v>
      </c>
      <c r="AZ45" s="101">
        <f>RCF!C$39</f>
        <v>16.54</v>
      </c>
      <c r="BA45" s="88">
        <f t="shared" si="170"/>
        <v>2161.6999999999998</v>
      </c>
      <c r="BB45" s="101">
        <f>RCF!C$41</f>
        <v>15.779</v>
      </c>
    </row>
    <row r="46" spans="1:54" s="103" customFormat="1" ht="38.25" x14ac:dyDescent="0.2">
      <c r="A46" s="135" t="s">
        <v>85</v>
      </c>
      <c r="B46" s="136" t="s">
        <v>86</v>
      </c>
      <c r="C46" s="137">
        <v>58</v>
      </c>
      <c r="D46" s="88">
        <f t="shared" si="150"/>
        <v>3452.1</v>
      </c>
      <c r="E46" s="101">
        <f>RCF!$C$43</f>
        <v>59.519182319999999</v>
      </c>
      <c r="F46" s="88">
        <f t="shared" si="151"/>
        <v>868.1</v>
      </c>
      <c r="G46" s="101">
        <f>RCF!C$5/1.055</f>
        <v>14.968720379146919</v>
      </c>
      <c r="H46" s="88">
        <f t="shared" si="152"/>
        <v>915.93600000000004</v>
      </c>
      <c r="I46" s="101">
        <f>RCF!C$5</f>
        <v>15.792</v>
      </c>
      <c r="J46" s="97">
        <f t="shared" si="153"/>
        <v>1007.5296000000001</v>
      </c>
      <c r="K46" s="97">
        <f t="shared" si="153"/>
        <v>1254.8323200000002</v>
      </c>
      <c r="L46" s="97">
        <f t="shared" si="153"/>
        <v>1346.4259200000001</v>
      </c>
      <c r="M46" s="97">
        <f t="shared" si="153"/>
        <v>1483.8163200000001</v>
      </c>
      <c r="N46" s="97">
        <f t="shared" si="153"/>
        <v>1831.8720000000001</v>
      </c>
      <c r="O46" s="97">
        <f t="shared" si="153"/>
        <v>1969.2624000000001</v>
      </c>
      <c r="P46" s="97">
        <f t="shared" si="153"/>
        <v>2747.808</v>
      </c>
      <c r="Q46" s="88">
        <f t="shared" si="154"/>
        <v>898.4</v>
      </c>
      <c r="R46" s="101">
        <f>RCF!C$7</f>
        <v>15.49</v>
      </c>
      <c r="S46" s="97">
        <f t="shared" si="155"/>
        <v>1167.9000000000001</v>
      </c>
      <c r="T46" s="97">
        <f t="shared" si="155"/>
        <v>1347.6</v>
      </c>
      <c r="U46" s="88">
        <f t="shared" si="156"/>
        <v>840.8</v>
      </c>
      <c r="V46" s="101">
        <f>RCF!S$54</f>
        <v>14.496666666666666</v>
      </c>
      <c r="W46" s="88">
        <f t="shared" si="157"/>
        <v>895.7</v>
      </c>
      <c r="X46" s="101">
        <f>RCF!S$56</f>
        <v>15.443333333333333</v>
      </c>
      <c r="Y46" s="97">
        <f t="shared" si="158"/>
        <v>985.2</v>
      </c>
      <c r="Z46" s="97">
        <f t="shared" si="159"/>
        <v>1227.0999999999999</v>
      </c>
      <c r="AA46" s="97">
        <f t="shared" si="159"/>
        <v>1451.1</v>
      </c>
      <c r="AB46" s="97">
        <f t="shared" si="159"/>
        <v>1316.7</v>
      </c>
      <c r="AC46" s="97">
        <f t="shared" si="159"/>
        <v>1943.7</v>
      </c>
      <c r="AD46" s="97">
        <f t="shared" si="159"/>
        <v>2687.1</v>
      </c>
      <c r="AE46" s="88">
        <f t="shared" si="160"/>
        <v>900.1</v>
      </c>
      <c r="AF46" s="101">
        <f>RCF!C$13</f>
        <v>15.52</v>
      </c>
      <c r="AG46" s="97">
        <f t="shared" si="161"/>
        <v>1485.2</v>
      </c>
      <c r="AH46" s="97">
        <f t="shared" si="161"/>
        <v>1890.2</v>
      </c>
      <c r="AI46" s="97">
        <f t="shared" si="161"/>
        <v>2700.3</v>
      </c>
      <c r="AJ46" s="88">
        <f t="shared" si="162"/>
        <v>910.4</v>
      </c>
      <c r="AK46" s="101">
        <f>RCF!C$25</f>
        <v>15.696666666666665</v>
      </c>
      <c r="AL46" s="88">
        <f t="shared" si="163"/>
        <v>1200.5999999999999</v>
      </c>
      <c r="AM46" s="101">
        <f>RCF!C$29</f>
        <v>20.7</v>
      </c>
      <c r="AN46" s="88">
        <f t="shared" si="164"/>
        <v>961</v>
      </c>
      <c r="AO46" s="101">
        <f>RCF!C$33</f>
        <v>16.57</v>
      </c>
      <c r="AP46" s="97">
        <f t="shared" si="165"/>
        <v>1441.5</v>
      </c>
      <c r="AQ46" s="88">
        <f t="shared" si="166"/>
        <v>954.6</v>
      </c>
      <c r="AR46" s="101">
        <f>RCF!C$35</f>
        <v>16.46</v>
      </c>
      <c r="AS46" s="97">
        <f t="shared" si="167"/>
        <v>1240.9000000000001</v>
      </c>
      <c r="AT46" s="97">
        <f t="shared" si="167"/>
        <v>1384.1</v>
      </c>
      <c r="AU46" s="88">
        <f t="shared" si="168"/>
        <v>942.3</v>
      </c>
      <c r="AV46" s="101">
        <f>RCF!C$37</f>
        <v>16.247</v>
      </c>
      <c r="AW46" s="102">
        <v>938.9</v>
      </c>
      <c r="AX46" s="101"/>
      <c r="AY46" s="88">
        <f t="shared" si="169"/>
        <v>959.3</v>
      </c>
      <c r="AZ46" s="101">
        <f>RCF!C$39</f>
        <v>16.54</v>
      </c>
      <c r="BA46" s="88">
        <f t="shared" si="170"/>
        <v>915.1</v>
      </c>
      <c r="BB46" s="101">
        <f>RCF!C$41</f>
        <v>15.779</v>
      </c>
    </row>
    <row r="47" spans="1:54" s="103" customFormat="1" ht="38.25" x14ac:dyDescent="0.2">
      <c r="A47" s="122" t="s">
        <v>25</v>
      </c>
      <c r="B47" s="99" t="s">
        <v>28</v>
      </c>
      <c r="C47" s="100">
        <v>50</v>
      </c>
      <c r="D47" s="88">
        <f t="shared" si="150"/>
        <v>2976</v>
      </c>
      <c r="E47" s="101">
        <f>RCF!$C$43</f>
        <v>59.519182319999999</v>
      </c>
      <c r="F47" s="88">
        <f t="shared" si="151"/>
        <v>748.4</v>
      </c>
      <c r="G47" s="101">
        <f>RCF!C$5/1.055</f>
        <v>14.968720379146919</v>
      </c>
      <c r="H47" s="88">
        <f t="shared" si="152"/>
        <v>789.6</v>
      </c>
      <c r="I47" s="101">
        <f>RCF!C$5</f>
        <v>15.792</v>
      </c>
      <c r="J47" s="97">
        <f t="shared" ref="J47:P61" si="171">$C47*$I47*J$6</f>
        <v>868.56000000000006</v>
      </c>
      <c r="K47" s="97">
        <f t="shared" si="171"/>
        <v>1081.7520000000002</v>
      </c>
      <c r="L47" s="97">
        <f t="shared" si="171"/>
        <v>1160.712</v>
      </c>
      <c r="M47" s="97">
        <f t="shared" si="171"/>
        <v>1279.152</v>
      </c>
      <c r="N47" s="97">
        <f t="shared" si="171"/>
        <v>1579.2</v>
      </c>
      <c r="O47" s="97">
        <f t="shared" si="171"/>
        <v>1697.6399999999999</v>
      </c>
      <c r="P47" s="97">
        <f t="shared" si="171"/>
        <v>2368.8000000000002</v>
      </c>
      <c r="Q47" s="88">
        <f t="shared" si="154"/>
        <v>774.5</v>
      </c>
      <c r="R47" s="101">
        <f>RCF!C$7</f>
        <v>15.49</v>
      </c>
      <c r="S47" s="97">
        <f t="shared" si="155"/>
        <v>1006.8</v>
      </c>
      <c r="T47" s="97">
        <f t="shared" si="155"/>
        <v>1161.7</v>
      </c>
      <c r="U47" s="88">
        <f t="shared" si="156"/>
        <v>724.8</v>
      </c>
      <c r="V47" s="101">
        <f>RCF!S$54</f>
        <v>14.496666666666666</v>
      </c>
      <c r="W47" s="88">
        <f t="shared" si="157"/>
        <v>772.1</v>
      </c>
      <c r="X47" s="101">
        <f>RCF!S$56</f>
        <v>15.443333333333333</v>
      </c>
      <c r="Y47" s="97">
        <f t="shared" si="158"/>
        <v>849.3</v>
      </c>
      <c r="Z47" s="97">
        <f t="shared" ref="Z47:AD61" si="172">ROUND($C47*$X47*Z$6,1)</f>
        <v>1057.9000000000001</v>
      </c>
      <c r="AA47" s="97">
        <f t="shared" si="172"/>
        <v>1250.9000000000001</v>
      </c>
      <c r="AB47" s="97">
        <f t="shared" si="172"/>
        <v>1135.0999999999999</v>
      </c>
      <c r="AC47" s="97">
        <f t="shared" si="172"/>
        <v>1675.6</v>
      </c>
      <c r="AD47" s="97">
        <f t="shared" si="172"/>
        <v>2316.5</v>
      </c>
      <c r="AE47" s="88">
        <f t="shared" si="160"/>
        <v>776</v>
      </c>
      <c r="AF47" s="101">
        <f>RCF!C$13</f>
        <v>15.52</v>
      </c>
      <c r="AG47" s="97">
        <f t="shared" si="161"/>
        <v>1280.4000000000001</v>
      </c>
      <c r="AH47" s="97">
        <f t="shared" si="161"/>
        <v>1629.6</v>
      </c>
      <c r="AI47" s="97">
        <f t="shared" si="161"/>
        <v>2328</v>
      </c>
      <c r="AJ47" s="88">
        <f t="shared" si="162"/>
        <v>784.8</v>
      </c>
      <c r="AK47" s="101">
        <f>RCF!C$25</f>
        <v>15.696666666666665</v>
      </c>
      <c r="AL47" s="88">
        <f t="shared" si="163"/>
        <v>1035</v>
      </c>
      <c r="AM47" s="101">
        <f>RCF!C$29</f>
        <v>20.7</v>
      </c>
      <c r="AN47" s="88">
        <f t="shared" si="164"/>
        <v>828.5</v>
      </c>
      <c r="AO47" s="101">
        <f>RCF!C$33</f>
        <v>16.57</v>
      </c>
      <c r="AP47" s="97">
        <f t="shared" si="165"/>
        <v>1242.7</v>
      </c>
      <c r="AQ47" s="88">
        <f t="shared" si="166"/>
        <v>823</v>
      </c>
      <c r="AR47" s="101">
        <f>RCF!C$35</f>
        <v>16.46</v>
      </c>
      <c r="AS47" s="97">
        <f t="shared" si="167"/>
        <v>1069.9000000000001</v>
      </c>
      <c r="AT47" s="97">
        <f t="shared" si="167"/>
        <v>1193.3</v>
      </c>
      <c r="AU47" s="88">
        <f t="shared" si="168"/>
        <v>812.3</v>
      </c>
      <c r="AV47" s="101">
        <f>RCF!C$37</f>
        <v>16.247</v>
      </c>
      <c r="AW47" s="102">
        <v>809.4</v>
      </c>
      <c r="AX47" s="101"/>
      <c r="AY47" s="88">
        <f t="shared" si="169"/>
        <v>827</v>
      </c>
      <c r="AZ47" s="101">
        <f>RCF!C$39</f>
        <v>16.54</v>
      </c>
      <c r="BA47" s="88">
        <f t="shared" si="170"/>
        <v>788.9</v>
      </c>
      <c r="BB47" s="101">
        <f>RCF!C$41</f>
        <v>15.779</v>
      </c>
    </row>
    <row r="48" spans="1:54" s="103" customFormat="1" x14ac:dyDescent="0.2">
      <c r="A48" s="122" t="s">
        <v>43</v>
      </c>
      <c r="B48" s="99" t="s">
        <v>49</v>
      </c>
      <c r="C48" s="100">
        <v>88</v>
      </c>
      <c r="D48" s="88">
        <f t="shared" si="150"/>
        <v>5237.7</v>
      </c>
      <c r="E48" s="101">
        <f>RCF!$C$43</f>
        <v>59.519182319999999</v>
      </c>
      <c r="F48" s="88">
        <f t="shared" si="151"/>
        <v>1389.6</v>
      </c>
      <c r="G48" s="101">
        <f>RCF!C$5</f>
        <v>15.792</v>
      </c>
      <c r="H48" s="88">
        <f t="shared" si="152"/>
        <v>1389.6959999999999</v>
      </c>
      <c r="I48" s="101">
        <f t="shared" ref="I48:I61" si="173">G48</f>
        <v>15.792</v>
      </c>
      <c r="J48" s="97">
        <f t="shared" si="171"/>
        <v>1528.6656</v>
      </c>
      <c r="K48" s="97">
        <f t="shared" si="171"/>
        <v>1903.8835200000001</v>
      </c>
      <c r="L48" s="97">
        <f t="shared" si="171"/>
        <v>2042.8531199999998</v>
      </c>
      <c r="M48" s="97">
        <f t="shared" si="171"/>
        <v>2251.3075199999998</v>
      </c>
      <c r="N48" s="97">
        <f t="shared" si="171"/>
        <v>2779.3919999999998</v>
      </c>
      <c r="O48" s="97">
        <f t="shared" si="171"/>
        <v>2987.8463999999999</v>
      </c>
      <c r="P48" s="97">
        <f t="shared" si="171"/>
        <v>4169.0879999999997</v>
      </c>
      <c r="Q48" s="88">
        <f t="shared" si="154"/>
        <v>1363.1</v>
      </c>
      <c r="R48" s="101">
        <f>RCF!C$7</f>
        <v>15.49</v>
      </c>
      <c r="S48" s="97">
        <f t="shared" si="155"/>
        <v>1772</v>
      </c>
      <c r="T48" s="97">
        <f t="shared" si="155"/>
        <v>2044.6</v>
      </c>
      <c r="U48" s="88">
        <f t="shared" si="156"/>
        <v>1346.7</v>
      </c>
      <c r="V48" s="101">
        <f>RCF!C$9</f>
        <v>15.304</v>
      </c>
      <c r="W48" s="88">
        <f t="shared" si="157"/>
        <v>1346.7</v>
      </c>
      <c r="X48" s="101">
        <f t="shared" ref="X48:X61" si="174">V48</f>
        <v>15.304</v>
      </c>
      <c r="Y48" s="97">
        <f t="shared" si="158"/>
        <v>1481.3</v>
      </c>
      <c r="Z48" s="97">
        <f t="shared" si="172"/>
        <v>1845.1</v>
      </c>
      <c r="AA48" s="97">
        <f t="shared" si="172"/>
        <v>2181.6999999999998</v>
      </c>
      <c r="AB48" s="97">
        <f t="shared" si="172"/>
        <v>1979.7</v>
      </c>
      <c r="AC48" s="97">
        <f t="shared" si="172"/>
        <v>2922.5</v>
      </c>
      <c r="AD48" s="97">
        <f t="shared" si="172"/>
        <v>4040.3</v>
      </c>
      <c r="AE48" s="88">
        <f t="shared" si="160"/>
        <v>1365.7</v>
      </c>
      <c r="AF48" s="101">
        <f>RCF!C$13</f>
        <v>15.52</v>
      </c>
      <c r="AG48" s="97">
        <f t="shared" si="161"/>
        <v>2253.4</v>
      </c>
      <c r="AH48" s="97">
        <f t="shared" si="161"/>
        <v>2868</v>
      </c>
      <c r="AI48" s="97">
        <f t="shared" si="161"/>
        <v>4097.1000000000004</v>
      </c>
      <c r="AJ48" s="88">
        <f t="shared" si="162"/>
        <v>1381.3</v>
      </c>
      <c r="AK48" s="101">
        <f>RCF!C$25</f>
        <v>15.696666666666665</v>
      </c>
      <c r="AL48" s="88">
        <f t="shared" si="163"/>
        <v>1821.6</v>
      </c>
      <c r="AM48" s="101">
        <f>RCF!C$29</f>
        <v>20.7</v>
      </c>
      <c r="AN48" s="88">
        <f t="shared" si="164"/>
        <v>1458.1</v>
      </c>
      <c r="AO48" s="101">
        <f>RCF!C$33</f>
        <v>16.57</v>
      </c>
      <c r="AP48" s="97">
        <f t="shared" si="165"/>
        <v>2187.1</v>
      </c>
      <c r="AQ48" s="88">
        <f t="shared" si="166"/>
        <v>1448.4</v>
      </c>
      <c r="AR48" s="101">
        <f>RCF!C$35</f>
        <v>16.46</v>
      </c>
      <c r="AS48" s="97">
        <f t="shared" si="167"/>
        <v>1882.9</v>
      </c>
      <c r="AT48" s="97">
        <f t="shared" si="167"/>
        <v>2100.1</v>
      </c>
      <c r="AU48" s="88">
        <f t="shared" si="168"/>
        <v>1429.7</v>
      </c>
      <c r="AV48" s="101">
        <f>RCF!C$37</f>
        <v>16.247</v>
      </c>
      <c r="AW48" s="102">
        <v>1424.5</v>
      </c>
      <c r="AX48" s="101"/>
      <c r="AY48" s="88">
        <f t="shared" si="169"/>
        <v>1455.5</v>
      </c>
      <c r="AZ48" s="101">
        <f>RCF!C$39</f>
        <v>16.54</v>
      </c>
      <c r="BA48" s="88">
        <f t="shared" si="170"/>
        <v>1388.5</v>
      </c>
      <c r="BB48" s="101">
        <f>RCF!C$41</f>
        <v>15.779</v>
      </c>
    </row>
    <row r="49" spans="1:54" s="103" customFormat="1" ht="25.5" x14ac:dyDescent="0.2">
      <c r="A49" s="122" t="s">
        <v>42</v>
      </c>
      <c r="B49" s="99" t="s">
        <v>50</v>
      </c>
      <c r="C49" s="100">
        <v>88</v>
      </c>
      <c r="D49" s="88">
        <f t="shared" si="150"/>
        <v>5237.7</v>
      </c>
      <c r="E49" s="101">
        <f>RCF!$C$43</f>
        <v>59.519182319999999</v>
      </c>
      <c r="F49" s="88">
        <f t="shared" si="151"/>
        <v>1389.6</v>
      </c>
      <c r="G49" s="101">
        <f>RCF!C$5</f>
        <v>15.792</v>
      </c>
      <c r="H49" s="88">
        <f t="shared" si="152"/>
        <v>1389.6959999999999</v>
      </c>
      <c r="I49" s="101">
        <f t="shared" si="173"/>
        <v>15.792</v>
      </c>
      <c r="J49" s="97">
        <f t="shared" si="171"/>
        <v>1528.6656</v>
      </c>
      <c r="K49" s="97">
        <f t="shared" si="171"/>
        <v>1903.8835200000001</v>
      </c>
      <c r="L49" s="97">
        <f t="shared" si="171"/>
        <v>2042.8531199999998</v>
      </c>
      <c r="M49" s="97">
        <f t="shared" si="171"/>
        <v>2251.3075199999998</v>
      </c>
      <c r="N49" s="97">
        <f t="shared" si="171"/>
        <v>2779.3919999999998</v>
      </c>
      <c r="O49" s="97">
        <f t="shared" si="171"/>
        <v>2987.8463999999999</v>
      </c>
      <c r="P49" s="97">
        <f t="shared" si="171"/>
        <v>4169.0879999999997</v>
      </c>
      <c r="Q49" s="88">
        <f t="shared" si="154"/>
        <v>1363.1</v>
      </c>
      <c r="R49" s="101">
        <f>RCF!C$7</f>
        <v>15.49</v>
      </c>
      <c r="S49" s="97">
        <f t="shared" si="155"/>
        <v>1772</v>
      </c>
      <c r="T49" s="97">
        <f t="shared" si="155"/>
        <v>2044.6</v>
      </c>
      <c r="U49" s="88">
        <f t="shared" si="156"/>
        <v>1346.7</v>
      </c>
      <c r="V49" s="101">
        <f>RCF!C$9</f>
        <v>15.304</v>
      </c>
      <c r="W49" s="88">
        <f t="shared" si="157"/>
        <v>1346.7</v>
      </c>
      <c r="X49" s="101">
        <f t="shared" si="174"/>
        <v>15.304</v>
      </c>
      <c r="Y49" s="97">
        <f t="shared" si="158"/>
        <v>1481.3</v>
      </c>
      <c r="Z49" s="97">
        <f t="shared" si="172"/>
        <v>1845.1</v>
      </c>
      <c r="AA49" s="97">
        <f t="shared" si="172"/>
        <v>2181.6999999999998</v>
      </c>
      <c r="AB49" s="97">
        <f t="shared" si="172"/>
        <v>1979.7</v>
      </c>
      <c r="AC49" s="97">
        <f t="shared" si="172"/>
        <v>2922.5</v>
      </c>
      <c r="AD49" s="97">
        <f t="shared" si="172"/>
        <v>4040.3</v>
      </c>
      <c r="AE49" s="88">
        <f t="shared" si="160"/>
        <v>1365.7</v>
      </c>
      <c r="AF49" s="101">
        <f>RCF!C$13</f>
        <v>15.52</v>
      </c>
      <c r="AG49" s="97">
        <f t="shared" si="161"/>
        <v>2253.4</v>
      </c>
      <c r="AH49" s="97">
        <f t="shared" si="161"/>
        <v>2868</v>
      </c>
      <c r="AI49" s="97">
        <f t="shared" si="161"/>
        <v>4097.1000000000004</v>
      </c>
      <c r="AJ49" s="88">
        <f t="shared" si="162"/>
        <v>1381.3</v>
      </c>
      <c r="AK49" s="101">
        <f>RCF!C$25</f>
        <v>15.696666666666665</v>
      </c>
      <c r="AL49" s="88">
        <f t="shared" si="163"/>
        <v>1821.6</v>
      </c>
      <c r="AM49" s="101">
        <f>RCF!C$29</f>
        <v>20.7</v>
      </c>
      <c r="AN49" s="88">
        <f t="shared" si="164"/>
        <v>1458.1</v>
      </c>
      <c r="AO49" s="101">
        <f>RCF!C$33</f>
        <v>16.57</v>
      </c>
      <c r="AP49" s="97">
        <f t="shared" si="165"/>
        <v>2187.1</v>
      </c>
      <c r="AQ49" s="88">
        <f t="shared" si="166"/>
        <v>1448.4</v>
      </c>
      <c r="AR49" s="101">
        <f>RCF!C$35</f>
        <v>16.46</v>
      </c>
      <c r="AS49" s="97">
        <f t="shared" si="167"/>
        <v>1882.9</v>
      </c>
      <c r="AT49" s="97">
        <f t="shared" si="167"/>
        <v>2100.1</v>
      </c>
      <c r="AU49" s="88">
        <f t="shared" si="168"/>
        <v>1429.7</v>
      </c>
      <c r="AV49" s="101">
        <f>RCF!C$37</f>
        <v>16.247</v>
      </c>
      <c r="AW49" s="102">
        <v>1424.5</v>
      </c>
      <c r="AX49" s="101"/>
      <c r="AY49" s="88">
        <f t="shared" si="169"/>
        <v>1455.5</v>
      </c>
      <c r="AZ49" s="101">
        <f>RCF!C$39</f>
        <v>16.54</v>
      </c>
      <c r="BA49" s="88">
        <f t="shared" si="170"/>
        <v>1388.5</v>
      </c>
      <c r="BB49" s="101">
        <f>RCF!C$41</f>
        <v>15.779</v>
      </c>
    </row>
    <row r="50" spans="1:54" s="103" customFormat="1" ht="38.25" x14ac:dyDescent="0.2">
      <c r="A50" s="122" t="s">
        <v>37</v>
      </c>
      <c r="B50" s="99" t="s">
        <v>183</v>
      </c>
      <c r="C50" s="100">
        <v>220</v>
      </c>
      <c r="D50" s="88">
        <f t="shared" si="150"/>
        <v>13094.2</v>
      </c>
      <c r="E50" s="101">
        <f>RCF!$C$43</f>
        <v>59.519182319999999</v>
      </c>
      <c r="F50" s="88">
        <f t="shared" si="151"/>
        <v>3474.2</v>
      </c>
      <c r="G50" s="101">
        <f>RCF!C$5</f>
        <v>15.792</v>
      </c>
      <c r="H50" s="88">
        <f t="shared" si="152"/>
        <v>3474.24</v>
      </c>
      <c r="I50" s="101">
        <f t="shared" si="173"/>
        <v>15.792</v>
      </c>
      <c r="J50" s="97">
        <f t="shared" si="171"/>
        <v>3821.6640000000002</v>
      </c>
      <c r="K50" s="97">
        <f t="shared" si="171"/>
        <v>4759.7088000000003</v>
      </c>
      <c r="L50" s="97">
        <f t="shared" si="171"/>
        <v>5107.1327999999994</v>
      </c>
      <c r="M50" s="97">
        <f t="shared" si="171"/>
        <v>5628.2687999999998</v>
      </c>
      <c r="N50" s="97">
        <f t="shared" si="171"/>
        <v>6948.48</v>
      </c>
      <c r="O50" s="97">
        <f t="shared" si="171"/>
        <v>7469.6159999999991</v>
      </c>
      <c r="P50" s="97">
        <f t="shared" si="171"/>
        <v>10422.719999999999</v>
      </c>
      <c r="Q50" s="88">
        <f t="shared" si="154"/>
        <v>3407.8</v>
      </c>
      <c r="R50" s="101">
        <f>RCF!C$7</f>
        <v>15.49</v>
      </c>
      <c r="S50" s="97">
        <f t="shared" si="155"/>
        <v>4430.1000000000004</v>
      </c>
      <c r="T50" s="97">
        <f t="shared" si="155"/>
        <v>5111.7</v>
      </c>
      <c r="U50" s="88">
        <f t="shared" si="156"/>
        <v>3366.8</v>
      </c>
      <c r="V50" s="101">
        <f>RCF!C$9</f>
        <v>15.304</v>
      </c>
      <c r="W50" s="88">
        <f t="shared" si="157"/>
        <v>3366.8</v>
      </c>
      <c r="X50" s="101">
        <f t="shared" si="174"/>
        <v>15.304</v>
      </c>
      <c r="Y50" s="97">
        <f t="shared" si="158"/>
        <v>3703.4</v>
      </c>
      <c r="Z50" s="97">
        <f t="shared" si="172"/>
        <v>4612.6000000000004</v>
      </c>
      <c r="AA50" s="97">
        <f t="shared" si="172"/>
        <v>5454.3</v>
      </c>
      <c r="AB50" s="97">
        <f t="shared" si="172"/>
        <v>4949.3</v>
      </c>
      <c r="AC50" s="97">
        <f t="shared" si="172"/>
        <v>7306.1</v>
      </c>
      <c r="AD50" s="97">
        <f t="shared" si="172"/>
        <v>10100.6</v>
      </c>
      <c r="AE50" s="88">
        <f t="shared" si="160"/>
        <v>3414.4</v>
      </c>
      <c r="AF50" s="101">
        <f>RCF!C$13</f>
        <v>15.52</v>
      </c>
      <c r="AG50" s="97">
        <f t="shared" si="161"/>
        <v>5633.8</v>
      </c>
      <c r="AH50" s="97">
        <f t="shared" si="161"/>
        <v>7170.2</v>
      </c>
      <c r="AI50" s="97">
        <f t="shared" si="161"/>
        <v>10243.200000000001</v>
      </c>
      <c r="AJ50" s="88">
        <f t="shared" si="162"/>
        <v>3453.2</v>
      </c>
      <c r="AK50" s="101">
        <f>RCF!C$25</f>
        <v>15.696666666666665</v>
      </c>
      <c r="AL50" s="88">
        <f t="shared" si="163"/>
        <v>4554</v>
      </c>
      <c r="AM50" s="101">
        <f>RCF!C$29</f>
        <v>20.7</v>
      </c>
      <c r="AN50" s="88">
        <f t="shared" si="164"/>
        <v>3645.4</v>
      </c>
      <c r="AO50" s="101">
        <f>RCF!C$33</f>
        <v>16.57</v>
      </c>
      <c r="AP50" s="97">
        <f t="shared" si="165"/>
        <v>5468.1</v>
      </c>
      <c r="AQ50" s="88">
        <f t="shared" si="166"/>
        <v>3621.2</v>
      </c>
      <c r="AR50" s="101">
        <f>RCF!C$35</f>
        <v>16.46</v>
      </c>
      <c r="AS50" s="97">
        <f t="shared" si="167"/>
        <v>4707.5</v>
      </c>
      <c r="AT50" s="97">
        <f t="shared" si="167"/>
        <v>5250.7</v>
      </c>
      <c r="AU50" s="88">
        <f t="shared" si="168"/>
        <v>3574.3</v>
      </c>
      <c r="AV50" s="101">
        <f>RCF!C$37</f>
        <v>16.247</v>
      </c>
      <c r="AW50" s="102">
        <v>3561.4</v>
      </c>
      <c r="AX50" s="101"/>
      <c r="AY50" s="88">
        <f t="shared" si="169"/>
        <v>3638.8</v>
      </c>
      <c r="AZ50" s="101">
        <f>RCF!C$39</f>
        <v>16.54</v>
      </c>
      <c r="BA50" s="88">
        <f t="shared" si="170"/>
        <v>3471.3</v>
      </c>
      <c r="BB50" s="101">
        <f>RCF!C$41</f>
        <v>15.779</v>
      </c>
    </row>
    <row r="51" spans="1:54" s="103" customFormat="1" ht="25.5" x14ac:dyDescent="0.2">
      <c r="A51" s="122" t="s">
        <v>33</v>
      </c>
      <c r="B51" s="99" t="s">
        <v>182</v>
      </c>
      <c r="C51" s="100">
        <v>105.6</v>
      </c>
      <c r="D51" s="124">
        <f t="shared" si="150"/>
        <v>1666.3</v>
      </c>
      <c r="E51" s="125">
        <f>BB60</f>
        <v>15.779</v>
      </c>
      <c r="F51" s="88">
        <f t="shared" si="151"/>
        <v>1667.6</v>
      </c>
      <c r="G51" s="101">
        <f>RCF!C$5</f>
        <v>15.792</v>
      </c>
      <c r="H51" s="88">
        <f t="shared" si="152"/>
        <v>1667.6351999999999</v>
      </c>
      <c r="I51" s="101">
        <f t="shared" si="173"/>
        <v>15.792</v>
      </c>
      <c r="J51" s="97">
        <f t="shared" si="171"/>
        <v>1834.3987200000001</v>
      </c>
      <c r="K51" s="97">
        <f t="shared" si="171"/>
        <v>2284.6602240000002</v>
      </c>
      <c r="L51" s="97">
        <f t="shared" si="171"/>
        <v>2451.4237439999997</v>
      </c>
      <c r="M51" s="97">
        <f t="shared" si="171"/>
        <v>2701.5690239999999</v>
      </c>
      <c r="N51" s="97">
        <f t="shared" si="171"/>
        <v>3335.2703999999999</v>
      </c>
      <c r="O51" s="97">
        <f t="shared" si="171"/>
        <v>3585.4156799999996</v>
      </c>
      <c r="P51" s="97">
        <f t="shared" si="171"/>
        <v>5002.9056</v>
      </c>
      <c r="Q51" s="88">
        <f t="shared" si="154"/>
        <v>1635.7</v>
      </c>
      <c r="R51" s="101">
        <f>RCF!C$7</f>
        <v>15.49</v>
      </c>
      <c r="S51" s="97">
        <f t="shared" si="155"/>
        <v>2126.4</v>
      </c>
      <c r="T51" s="97">
        <f t="shared" si="155"/>
        <v>2453.5</v>
      </c>
      <c r="U51" s="88">
        <f t="shared" si="156"/>
        <v>1616.1</v>
      </c>
      <c r="V51" s="101">
        <f>RCF!C$9</f>
        <v>15.304</v>
      </c>
      <c r="W51" s="88">
        <f t="shared" si="157"/>
        <v>1616.1</v>
      </c>
      <c r="X51" s="101">
        <f t="shared" si="174"/>
        <v>15.304</v>
      </c>
      <c r="Y51" s="97">
        <f t="shared" si="158"/>
        <v>1777.7</v>
      </c>
      <c r="Z51" s="97">
        <f t="shared" si="172"/>
        <v>2214.1</v>
      </c>
      <c r="AA51" s="97">
        <f t="shared" si="172"/>
        <v>2618.1</v>
      </c>
      <c r="AB51" s="97">
        <f t="shared" si="172"/>
        <v>2375.6999999999998</v>
      </c>
      <c r="AC51" s="97">
        <f t="shared" si="172"/>
        <v>3506.9</v>
      </c>
      <c r="AD51" s="97">
        <f t="shared" si="172"/>
        <v>4848.3</v>
      </c>
      <c r="AE51" s="88">
        <f t="shared" si="160"/>
        <v>1638.9</v>
      </c>
      <c r="AF51" s="101">
        <f>RCF!C$13</f>
        <v>15.52</v>
      </c>
      <c r="AG51" s="97">
        <f t="shared" si="161"/>
        <v>2704.2</v>
      </c>
      <c r="AH51" s="97">
        <f t="shared" si="161"/>
        <v>3441.7</v>
      </c>
      <c r="AI51" s="97">
        <f t="shared" si="161"/>
        <v>4916.7</v>
      </c>
      <c r="AJ51" s="88">
        <f t="shared" si="162"/>
        <v>1657.5</v>
      </c>
      <c r="AK51" s="101">
        <f>RCF!C$25</f>
        <v>15.696666666666665</v>
      </c>
      <c r="AL51" s="88">
        <f t="shared" si="163"/>
        <v>2185.9</v>
      </c>
      <c r="AM51" s="101">
        <f>RCF!C$29</f>
        <v>20.7</v>
      </c>
      <c r="AN51" s="88">
        <f t="shared" si="164"/>
        <v>1749.7</v>
      </c>
      <c r="AO51" s="101">
        <f>RCF!C$33</f>
        <v>16.57</v>
      </c>
      <c r="AP51" s="97">
        <f t="shared" si="165"/>
        <v>2624.5</v>
      </c>
      <c r="AQ51" s="88">
        <f t="shared" si="166"/>
        <v>1738.1</v>
      </c>
      <c r="AR51" s="101">
        <f>RCF!C$35</f>
        <v>16.46</v>
      </c>
      <c r="AS51" s="97">
        <f t="shared" si="167"/>
        <v>2259.5</v>
      </c>
      <c r="AT51" s="97">
        <f t="shared" si="167"/>
        <v>2520.1999999999998</v>
      </c>
      <c r="AU51" s="88">
        <f t="shared" si="168"/>
        <v>1715.6</v>
      </c>
      <c r="AV51" s="101">
        <f>RCF!C$37</f>
        <v>16.247</v>
      </c>
      <c r="AW51" s="102">
        <v>584.4</v>
      </c>
      <c r="AX51" s="101"/>
      <c r="AY51" s="88">
        <f t="shared" si="169"/>
        <v>1746.6</v>
      </c>
      <c r="AZ51" s="101">
        <f>RCF!C$39</f>
        <v>16.54</v>
      </c>
      <c r="BA51" s="88">
        <f t="shared" si="170"/>
        <v>1666.2</v>
      </c>
      <c r="BB51" s="101">
        <f>RCF!C$41</f>
        <v>15.779</v>
      </c>
    </row>
    <row r="52" spans="1:54" s="103" customFormat="1" ht="25.5" x14ac:dyDescent="0.2">
      <c r="A52" s="122" t="s">
        <v>35</v>
      </c>
      <c r="B52" s="99" t="s">
        <v>181</v>
      </c>
      <c r="C52" s="100">
        <v>16.600000000000001</v>
      </c>
      <c r="D52" s="88">
        <f t="shared" si="150"/>
        <v>988</v>
      </c>
      <c r="E52" s="101">
        <f>RCF!$C$43</f>
        <v>59.519182319999999</v>
      </c>
      <c r="F52" s="88">
        <f t="shared" si="151"/>
        <v>262.10000000000002</v>
      </c>
      <c r="G52" s="101">
        <f>RCF!C$5</f>
        <v>15.792</v>
      </c>
      <c r="H52" s="88">
        <f t="shared" si="152"/>
        <v>262.1472</v>
      </c>
      <c r="I52" s="101">
        <f t="shared" si="173"/>
        <v>15.792</v>
      </c>
      <c r="J52" s="97">
        <f t="shared" si="171"/>
        <v>288.36192</v>
      </c>
      <c r="K52" s="97">
        <f t="shared" si="171"/>
        <v>359.14166400000005</v>
      </c>
      <c r="L52" s="97">
        <f t="shared" si="171"/>
        <v>385.35638399999999</v>
      </c>
      <c r="M52" s="97">
        <f t="shared" si="171"/>
        <v>424.67846400000002</v>
      </c>
      <c r="N52" s="97">
        <f t="shared" si="171"/>
        <v>524.2944</v>
      </c>
      <c r="O52" s="97">
        <f t="shared" si="171"/>
        <v>563.61648000000002</v>
      </c>
      <c r="P52" s="97">
        <f t="shared" si="171"/>
        <v>786.44159999999999</v>
      </c>
      <c r="Q52" s="88">
        <f t="shared" si="154"/>
        <v>257.10000000000002</v>
      </c>
      <c r="R52" s="101">
        <f>RCF!C$7</f>
        <v>15.49</v>
      </c>
      <c r="S52" s="97">
        <f t="shared" si="155"/>
        <v>334.2</v>
      </c>
      <c r="T52" s="97">
        <f t="shared" si="155"/>
        <v>385.6</v>
      </c>
      <c r="U52" s="88">
        <f t="shared" si="156"/>
        <v>254</v>
      </c>
      <c r="V52" s="101">
        <f>RCF!C$9</f>
        <v>15.304</v>
      </c>
      <c r="W52" s="88">
        <f t="shared" si="157"/>
        <v>254</v>
      </c>
      <c r="X52" s="101">
        <f t="shared" si="174"/>
        <v>15.304</v>
      </c>
      <c r="Y52" s="97">
        <f t="shared" si="158"/>
        <v>279.39999999999998</v>
      </c>
      <c r="Z52" s="97">
        <f t="shared" si="172"/>
        <v>348</v>
      </c>
      <c r="AA52" s="97">
        <f t="shared" si="172"/>
        <v>411.6</v>
      </c>
      <c r="AB52" s="97">
        <f t="shared" si="172"/>
        <v>373.4</v>
      </c>
      <c r="AC52" s="97">
        <f t="shared" si="172"/>
        <v>551.29999999999995</v>
      </c>
      <c r="AD52" s="97">
        <f t="shared" si="172"/>
        <v>762.1</v>
      </c>
      <c r="AE52" s="88">
        <f t="shared" si="160"/>
        <v>257.60000000000002</v>
      </c>
      <c r="AF52" s="101">
        <f>RCF!C$13</f>
        <v>15.52</v>
      </c>
      <c r="AG52" s="97">
        <f t="shared" si="161"/>
        <v>425</v>
      </c>
      <c r="AH52" s="97">
        <f t="shared" si="161"/>
        <v>541</v>
      </c>
      <c r="AI52" s="97">
        <f t="shared" si="161"/>
        <v>772.8</v>
      </c>
      <c r="AJ52" s="88">
        <f t="shared" si="162"/>
        <v>260.5</v>
      </c>
      <c r="AK52" s="101">
        <f>RCF!C$25</f>
        <v>15.696666666666665</v>
      </c>
      <c r="AL52" s="88">
        <f t="shared" si="163"/>
        <v>343.6</v>
      </c>
      <c r="AM52" s="101">
        <f>RCF!C$29</f>
        <v>20.7</v>
      </c>
      <c r="AN52" s="88">
        <f t="shared" si="164"/>
        <v>275</v>
      </c>
      <c r="AO52" s="101">
        <f>RCF!C$33</f>
        <v>16.57</v>
      </c>
      <c r="AP52" s="97">
        <f t="shared" si="165"/>
        <v>412.5</v>
      </c>
      <c r="AQ52" s="88">
        <f t="shared" si="166"/>
        <v>273.2</v>
      </c>
      <c r="AR52" s="101">
        <f>RCF!C$35</f>
        <v>16.46</v>
      </c>
      <c r="AS52" s="97">
        <f t="shared" si="167"/>
        <v>355.1</v>
      </c>
      <c r="AT52" s="97">
        <f t="shared" si="167"/>
        <v>396.1</v>
      </c>
      <c r="AU52" s="88">
        <f t="shared" si="168"/>
        <v>269.7</v>
      </c>
      <c r="AV52" s="101">
        <f>RCF!C$37</f>
        <v>16.247</v>
      </c>
      <c r="AW52" s="102">
        <v>388.5</v>
      </c>
      <c r="AX52" s="101"/>
      <c r="AY52" s="88">
        <f t="shared" si="169"/>
        <v>274.5</v>
      </c>
      <c r="AZ52" s="101">
        <f>RCF!C$39</f>
        <v>16.54</v>
      </c>
      <c r="BA52" s="88">
        <f t="shared" si="170"/>
        <v>261.89999999999998</v>
      </c>
      <c r="BB52" s="101">
        <f>RCF!C$41</f>
        <v>15.779</v>
      </c>
    </row>
    <row r="53" spans="1:54" s="103" customFormat="1" x14ac:dyDescent="0.2">
      <c r="A53" s="122" t="s">
        <v>32</v>
      </c>
      <c r="B53" s="99" t="s">
        <v>184</v>
      </c>
      <c r="C53" s="100">
        <v>75</v>
      </c>
      <c r="D53" s="88">
        <f t="shared" si="150"/>
        <v>4463.8999999999996</v>
      </c>
      <c r="E53" s="101">
        <f>RCF!$C$43</f>
        <v>59.519182319999999</v>
      </c>
      <c r="F53" s="88">
        <f t="shared" si="151"/>
        <v>1184.4000000000001</v>
      </c>
      <c r="G53" s="101">
        <f>RCF!C$5</f>
        <v>15.792</v>
      </c>
      <c r="H53" s="88">
        <f t="shared" si="152"/>
        <v>1184.4000000000001</v>
      </c>
      <c r="I53" s="101">
        <f t="shared" si="173"/>
        <v>15.792</v>
      </c>
      <c r="J53" s="97">
        <f t="shared" si="171"/>
        <v>1302.8400000000001</v>
      </c>
      <c r="K53" s="97">
        <f t="shared" si="171"/>
        <v>1622.6280000000002</v>
      </c>
      <c r="L53" s="97">
        <f t="shared" si="171"/>
        <v>1741.0680000000002</v>
      </c>
      <c r="M53" s="97">
        <f t="shared" si="171"/>
        <v>1918.7280000000003</v>
      </c>
      <c r="N53" s="97">
        <f t="shared" si="171"/>
        <v>2368.8000000000002</v>
      </c>
      <c r="O53" s="97">
        <f t="shared" si="171"/>
        <v>2546.46</v>
      </c>
      <c r="P53" s="97">
        <f t="shared" si="171"/>
        <v>3553.2000000000003</v>
      </c>
      <c r="Q53" s="88">
        <f t="shared" si="154"/>
        <v>1161.7</v>
      </c>
      <c r="R53" s="101">
        <f>RCF!C$7</f>
        <v>15.49</v>
      </c>
      <c r="S53" s="97">
        <f t="shared" si="155"/>
        <v>1510.2</v>
      </c>
      <c r="T53" s="97">
        <f t="shared" si="155"/>
        <v>1742.5</v>
      </c>
      <c r="U53" s="88">
        <f t="shared" si="156"/>
        <v>1147.8</v>
      </c>
      <c r="V53" s="101">
        <f>RCF!C$9</f>
        <v>15.304</v>
      </c>
      <c r="W53" s="88">
        <f t="shared" si="157"/>
        <v>1147.8</v>
      </c>
      <c r="X53" s="101">
        <f t="shared" si="174"/>
        <v>15.304</v>
      </c>
      <c r="Y53" s="97">
        <f t="shared" si="158"/>
        <v>1262.5</v>
      </c>
      <c r="Z53" s="97">
        <f t="shared" si="172"/>
        <v>1572.5</v>
      </c>
      <c r="AA53" s="97">
        <f t="shared" si="172"/>
        <v>1859.4</v>
      </c>
      <c r="AB53" s="97">
        <f t="shared" si="172"/>
        <v>1687.3</v>
      </c>
      <c r="AC53" s="97">
        <f t="shared" si="172"/>
        <v>2490.6999999999998</v>
      </c>
      <c r="AD53" s="97">
        <f t="shared" si="172"/>
        <v>3443.4</v>
      </c>
      <c r="AE53" s="88">
        <f t="shared" si="160"/>
        <v>1164</v>
      </c>
      <c r="AF53" s="101">
        <f>RCF!C$13</f>
        <v>15.52</v>
      </c>
      <c r="AG53" s="97">
        <f t="shared" si="161"/>
        <v>1920.6</v>
      </c>
      <c r="AH53" s="97">
        <f t="shared" si="161"/>
        <v>2444.4</v>
      </c>
      <c r="AI53" s="97">
        <f t="shared" si="161"/>
        <v>3492</v>
      </c>
      <c r="AJ53" s="88">
        <f t="shared" si="162"/>
        <v>1177.2</v>
      </c>
      <c r="AK53" s="101">
        <f>RCF!C$25</f>
        <v>15.696666666666665</v>
      </c>
      <c r="AL53" s="88">
        <f t="shared" si="163"/>
        <v>1552.5</v>
      </c>
      <c r="AM53" s="101">
        <f>RCF!C$29</f>
        <v>20.7</v>
      </c>
      <c r="AN53" s="88">
        <f t="shared" si="164"/>
        <v>1242.7</v>
      </c>
      <c r="AO53" s="101">
        <f>RCF!C$33</f>
        <v>16.57</v>
      </c>
      <c r="AP53" s="97">
        <f t="shared" si="165"/>
        <v>1864</v>
      </c>
      <c r="AQ53" s="88">
        <f t="shared" si="166"/>
        <v>1234.5</v>
      </c>
      <c r="AR53" s="101">
        <f>RCF!C$35</f>
        <v>16.46</v>
      </c>
      <c r="AS53" s="97">
        <f t="shared" si="167"/>
        <v>1604.8</v>
      </c>
      <c r="AT53" s="97">
        <f t="shared" si="167"/>
        <v>1790</v>
      </c>
      <c r="AU53" s="88">
        <f t="shared" si="168"/>
        <v>1218.5</v>
      </c>
      <c r="AV53" s="101">
        <f>RCF!C$37</f>
        <v>16.247</v>
      </c>
      <c r="AW53" s="102">
        <v>1214.0999999999999</v>
      </c>
      <c r="AX53" s="101"/>
      <c r="AY53" s="88">
        <f t="shared" si="169"/>
        <v>1240.5</v>
      </c>
      <c r="AZ53" s="101">
        <f>RCF!C$39</f>
        <v>16.54</v>
      </c>
      <c r="BA53" s="88">
        <f t="shared" si="170"/>
        <v>1183.4000000000001</v>
      </c>
      <c r="BB53" s="101">
        <f>RCF!C$41</f>
        <v>15.779</v>
      </c>
    </row>
    <row r="54" spans="1:54" s="103" customFormat="1" x14ac:dyDescent="0.2">
      <c r="A54" s="123">
        <v>2719</v>
      </c>
      <c r="B54" s="99" t="s">
        <v>195</v>
      </c>
      <c r="C54" s="100">
        <v>125</v>
      </c>
      <c r="D54" s="124">
        <f t="shared" si="150"/>
        <v>7439.9</v>
      </c>
      <c r="E54" s="125">
        <f>RCF!$C$43</f>
        <v>59.519182319999999</v>
      </c>
      <c r="F54" s="88">
        <f t="shared" si="151"/>
        <v>1974</v>
      </c>
      <c r="G54" s="101">
        <f>RCF!C$5</f>
        <v>15.792</v>
      </c>
      <c r="H54" s="88">
        <f t="shared" si="152"/>
        <v>1974</v>
      </c>
      <c r="I54" s="101">
        <f t="shared" si="173"/>
        <v>15.792</v>
      </c>
      <c r="J54" s="97">
        <f t="shared" si="171"/>
        <v>2171.4</v>
      </c>
      <c r="K54" s="97">
        <f t="shared" si="171"/>
        <v>2704.38</v>
      </c>
      <c r="L54" s="97">
        <f t="shared" si="171"/>
        <v>2901.7799999999997</v>
      </c>
      <c r="M54" s="97">
        <f t="shared" si="171"/>
        <v>3197.88</v>
      </c>
      <c r="N54" s="97">
        <f t="shared" si="171"/>
        <v>3948</v>
      </c>
      <c r="O54" s="97">
        <f t="shared" si="171"/>
        <v>4244.0999999999995</v>
      </c>
      <c r="P54" s="97">
        <f t="shared" si="171"/>
        <v>5922</v>
      </c>
      <c r="Q54" s="88">
        <f t="shared" si="154"/>
        <v>1936.2</v>
      </c>
      <c r="R54" s="101">
        <f>RCF!C$7</f>
        <v>15.49</v>
      </c>
      <c r="S54" s="97">
        <f t="shared" si="155"/>
        <v>2517</v>
      </c>
      <c r="T54" s="97">
        <f t="shared" si="155"/>
        <v>2904.3</v>
      </c>
      <c r="U54" s="88">
        <f t="shared" si="156"/>
        <v>1913</v>
      </c>
      <c r="V54" s="101">
        <f>RCF!C$9</f>
        <v>15.304</v>
      </c>
      <c r="W54" s="88">
        <f t="shared" si="157"/>
        <v>1913</v>
      </c>
      <c r="X54" s="101">
        <f t="shared" si="174"/>
        <v>15.304</v>
      </c>
      <c r="Y54" s="97">
        <f t="shared" si="158"/>
        <v>2104.3000000000002</v>
      </c>
      <c r="Z54" s="97">
        <f t="shared" si="172"/>
        <v>2620.8000000000002</v>
      </c>
      <c r="AA54" s="97">
        <f t="shared" si="172"/>
        <v>3099.1</v>
      </c>
      <c r="AB54" s="97">
        <f t="shared" si="172"/>
        <v>2812.1</v>
      </c>
      <c r="AC54" s="97">
        <f t="shared" si="172"/>
        <v>4151.2</v>
      </c>
      <c r="AD54" s="97">
        <f t="shared" si="172"/>
        <v>5739</v>
      </c>
      <c r="AE54" s="88">
        <f t="shared" si="160"/>
        <v>1940</v>
      </c>
      <c r="AF54" s="101">
        <f>RCF!C$13</f>
        <v>15.52</v>
      </c>
      <c r="AG54" s="97">
        <f t="shared" si="161"/>
        <v>3201</v>
      </c>
      <c r="AH54" s="97">
        <f t="shared" si="161"/>
        <v>4074</v>
      </c>
      <c r="AI54" s="97">
        <f t="shared" si="161"/>
        <v>5820</v>
      </c>
      <c r="AJ54" s="88">
        <f t="shared" si="162"/>
        <v>1962</v>
      </c>
      <c r="AK54" s="101">
        <f>RCF!C$25</f>
        <v>15.696666666666665</v>
      </c>
      <c r="AL54" s="88">
        <f t="shared" si="163"/>
        <v>2587.5</v>
      </c>
      <c r="AM54" s="101">
        <f>RCF!C$29</f>
        <v>20.7</v>
      </c>
      <c r="AN54" s="88">
        <f t="shared" si="164"/>
        <v>2071.1999999999998</v>
      </c>
      <c r="AO54" s="101">
        <f>RCF!C$33</f>
        <v>16.57</v>
      </c>
      <c r="AP54" s="97">
        <f t="shared" si="165"/>
        <v>3106.8</v>
      </c>
      <c r="AQ54" s="88">
        <f t="shared" si="166"/>
        <v>2057.5</v>
      </c>
      <c r="AR54" s="101">
        <f>RCF!C$35</f>
        <v>16.46</v>
      </c>
      <c r="AS54" s="97">
        <f t="shared" si="167"/>
        <v>2674.7</v>
      </c>
      <c r="AT54" s="97">
        <f t="shared" si="167"/>
        <v>2983.3</v>
      </c>
      <c r="AU54" s="88">
        <f t="shared" si="168"/>
        <v>2030.8</v>
      </c>
      <c r="AV54" s="101">
        <f>RCF!C$37</f>
        <v>16.247</v>
      </c>
      <c r="AW54" s="102">
        <v>2023.5</v>
      </c>
      <c r="AX54" s="101"/>
      <c r="AY54" s="88">
        <f t="shared" si="169"/>
        <v>2067.5</v>
      </c>
      <c r="AZ54" s="101">
        <f>RCF!C$39</f>
        <v>16.54</v>
      </c>
      <c r="BA54" s="88">
        <f t="shared" si="170"/>
        <v>1972.3</v>
      </c>
      <c r="BB54" s="101">
        <f>RCF!C$41</f>
        <v>15.779</v>
      </c>
    </row>
    <row r="55" spans="1:54" s="103" customFormat="1" x14ac:dyDescent="0.2">
      <c r="A55" s="122" t="s">
        <v>44</v>
      </c>
      <c r="B55" s="99" t="s">
        <v>51</v>
      </c>
      <c r="C55" s="100">
        <v>36</v>
      </c>
      <c r="D55" s="88">
        <f t="shared" si="150"/>
        <v>2142.6999999999998</v>
      </c>
      <c r="E55" s="101">
        <f>RCF!$C$43</f>
        <v>59.519182319999999</v>
      </c>
      <c r="F55" s="88">
        <f t="shared" si="151"/>
        <v>568.5</v>
      </c>
      <c r="G55" s="101">
        <f>RCF!C$5</f>
        <v>15.792</v>
      </c>
      <c r="H55" s="88">
        <f t="shared" si="152"/>
        <v>568.51199999999994</v>
      </c>
      <c r="I55" s="101">
        <f t="shared" si="173"/>
        <v>15.792</v>
      </c>
      <c r="J55" s="97">
        <f t="shared" si="171"/>
        <v>625.36320000000001</v>
      </c>
      <c r="K55" s="97">
        <f t="shared" si="171"/>
        <v>778.86144000000002</v>
      </c>
      <c r="L55" s="97">
        <f t="shared" si="171"/>
        <v>835.71263999999985</v>
      </c>
      <c r="M55" s="97">
        <f t="shared" si="171"/>
        <v>920.98943999999995</v>
      </c>
      <c r="N55" s="97">
        <f t="shared" si="171"/>
        <v>1137.0239999999999</v>
      </c>
      <c r="O55" s="97">
        <f t="shared" si="171"/>
        <v>1222.3007999999998</v>
      </c>
      <c r="P55" s="97">
        <f t="shared" si="171"/>
        <v>1705.5359999999998</v>
      </c>
      <c r="Q55" s="88">
        <f t="shared" si="154"/>
        <v>557.6</v>
      </c>
      <c r="R55" s="101">
        <f>RCF!C$7</f>
        <v>15.49</v>
      </c>
      <c r="S55" s="97">
        <f t="shared" si="155"/>
        <v>724.8</v>
      </c>
      <c r="T55" s="97">
        <f t="shared" si="155"/>
        <v>836.4</v>
      </c>
      <c r="U55" s="88">
        <f t="shared" si="156"/>
        <v>550.9</v>
      </c>
      <c r="V55" s="101">
        <f>RCF!C$9</f>
        <v>15.304</v>
      </c>
      <c r="W55" s="88">
        <f t="shared" si="157"/>
        <v>550.9</v>
      </c>
      <c r="X55" s="101">
        <f t="shared" si="174"/>
        <v>15.304</v>
      </c>
      <c r="Y55" s="97">
        <f t="shared" si="158"/>
        <v>605.9</v>
      </c>
      <c r="Z55" s="97">
        <f t="shared" si="172"/>
        <v>754.8</v>
      </c>
      <c r="AA55" s="97">
        <f t="shared" si="172"/>
        <v>892.5</v>
      </c>
      <c r="AB55" s="97">
        <f t="shared" si="172"/>
        <v>809.9</v>
      </c>
      <c r="AC55" s="97">
        <f t="shared" si="172"/>
        <v>1195.5</v>
      </c>
      <c r="AD55" s="97">
        <f t="shared" si="172"/>
        <v>1652.8</v>
      </c>
      <c r="AE55" s="88">
        <f t="shared" si="160"/>
        <v>558.70000000000005</v>
      </c>
      <c r="AF55" s="101">
        <f>RCF!C$13</f>
        <v>15.52</v>
      </c>
      <c r="AG55" s="97">
        <f t="shared" si="161"/>
        <v>921.9</v>
      </c>
      <c r="AH55" s="97">
        <f t="shared" si="161"/>
        <v>1173.3</v>
      </c>
      <c r="AI55" s="97">
        <f t="shared" si="161"/>
        <v>1676.1</v>
      </c>
      <c r="AJ55" s="88">
        <f t="shared" si="162"/>
        <v>565</v>
      </c>
      <c r="AK55" s="101">
        <f>RCF!C$25</f>
        <v>15.696666666666665</v>
      </c>
      <c r="AL55" s="88">
        <f t="shared" si="163"/>
        <v>745.2</v>
      </c>
      <c r="AM55" s="101">
        <f>RCF!C$29</f>
        <v>20.7</v>
      </c>
      <c r="AN55" s="88">
        <f t="shared" si="164"/>
        <v>596.5</v>
      </c>
      <c r="AO55" s="101">
        <f>RCF!C$33</f>
        <v>16.57</v>
      </c>
      <c r="AP55" s="97">
        <f t="shared" si="165"/>
        <v>894.7</v>
      </c>
      <c r="AQ55" s="88">
        <f t="shared" si="166"/>
        <v>592.5</v>
      </c>
      <c r="AR55" s="101">
        <f>RCF!C$35</f>
        <v>16.46</v>
      </c>
      <c r="AS55" s="97">
        <f t="shared" si="167"/>
        <v>770.2</v>
      </c>
      <c r="AT55" s="97">
        <f t="shared" si="167"/>
        <v>859.1</v>
      </c>
      <c r="AU55" s="88">
        <f t="shared" si="168"/>
        <v>584.79999999999995</v>
      </c>
      <c r="AV55" s="101">
        <f>RCF!C$37</f>
        <v>16.247</v>
      </c>
      <c r="AW55" s="102">
        <v>582.79999999999995</v>
      </c>
      <c r="AX55" s="101"/>
      <c r="AY55" s="88">
        <f t="shared" si="169"/>
        <v>595.4</v>
      </c>
      <c r="AZ55" s="101">
        <f>RCF!C$39</f>
        <v>16.54</v>
      </c>
      <c r="BA55" s="88">
        <f t="shared" si="170"/>
        <v>568</v>
      </c>
      <c r="BB55" s="101">
        <f>RCF!C$41</f>
        <v>15.779</v>
      </c>
    </row>
    <row r="56" spans="1:54" s="103" customFormat="1" x14ac:dyDescent="0.2">
      <c r="A56" s="122" t="s">
        <v>39</v>
      </c>
      <c r="B56" s="99" t="s">
        <v>52</v>
      </c>
      <c r="C56" s="100">
        <v>31</v>
      </c>
      <c r="D56" s="88">
        <f t="shared" si="150"/>
        <v>1845.1</v>
      </c>
      <c r="E56" s="101">
        <f>RCF!$C$43</f>
        <v>59.519182319999999</v>
      </c>
      <c r="F56" s="88">
        <f t="shared" si="151"/>
        <v>489.5</v>
      </c>
      <c r="G56" s="101">
        <f>RCF!C$5</f>
        <v>15.792</v>
      </c>
      <c r="H56" s="88">
        <f t="shared" si="152"/>
        <v>489.55200000000002</v>
      </c>
      <c r="I56" s="101">
        <f t="shared" si="173"/>
        <v>15.792</v>
      </c>
      <c r="J56" s="97">
        <f t="shared" si="171"/>
        <v>538.50720000000001</v>
      </c>
      <c r="K56" s="97">
        <f t="shared" si="171"/>
        <v>670.68624000000011</v>
      </c>
      <c r="L56" s="97">
        <f t="shared" si="171"/>
        <v>719.64143999999999</v>
      </c>
      <c r="M56" s="97">
        <f t="shared" si="171"/>
        <v>793.07424000000003</v>
      </c>
      <c r="N56" s="97">
        <f t="shared" si="171"/>
        <v>979.10400000000004</v>
      </c>
      <c r="O56" s="97">
        <f t="shared" si="171"/>
        <v>1052.5368000000001</v>
      </c>
      <c r="P56" s="97">
        <f t="shared" si="171"/>
        <v>1468.6559999999999</v>
      </c>
      <c r="Q56" s="88">
        <f t="shared" si="154"/>
        <v>480.1</v>
      </c>
      <c r="R56" s="101">
        <f>RCF!C$7</f>
        <v>15.49</v>
      </c>
      <c r="S56" s="97">
        <f t="shared" si="155"/>
        <v>624.1</v>
      </c>
      <c r="T56" s="97">
        <f t="shared" si="155"/>
        <v>720.1</v>
      </c>
      <c r="U56" s="88">
        <f t="shared" si="156"/>
        <v>474.4</v>
      </c>
      <c r="V56" s="101">
        <f>RCF!C$9</f>
        <v>15.304</v>
      </c>
      <c r="W56" s="88">
        <f t="shared" si="157"/>
        <v>474.4</v>
      </c>
      <c r="X56" s="101">
        <f t="shared" si="174"/>
        <v>15.304</v>
      </c>
      <c r="Y56" s="97">
        <f t="shared" si="158"/>
        <v>521.79999999999995</v>
      </c>
      <c r="Z56" s="97">
        <f t="shared" si="172"/>
        <v>650</v>
      </c>
      <c r="AA56" s="97">
        <f t="shared" si="172"/>
        <v>768.6</v>
      </c>
      <c r="AB56" s="97">
        <f t="shared" si="172"/>
        <v>697.4</v>
      </c>
      <c r="AC56" s="97">
        <f t="shared" si="172"/>
        <v>1029.5</v>
      </c>
      <c r="AD56" s="97">
        <f t="shared" si="172"/>
        <v>1423.3</v>
      </c>
      <c r="AE56" s="88">
        <f t="shared" si="160"/>
        <v>481.1</v>
      </c>
      <c r="AF56" s="101">
        <f>RCF!C$13</f>
        <v>15.52</v>
      </c>
      <c r="AG56" s="97">
        <f t="shared" si="161"/>
        <v>793.8</v>
      </c>
      <c r="AH56" s="97">
        <f t="shared" si="161"/>
        <v>1010.3</v>
      </c>
      <c r="AI56" s="97">
        <f t="shared" si="161"/>
        <v>1443.3</v>
      </c>
      <c r="AJ56" s="88">
        <f t="shared" si="162"/>
        <v>486.5</v>
      </c>
      <c r="AK56" s="101">
        <f>RCF!C$25</f>
        <v>15.696666666666665</v>
      </c>
      <c r="AL56" s="88">
        <f t="shared" si="163"/>
        <v>641.70000000000005</v>
      </c>
      <c r="AM56" s="101">
        <f>RCF!C$29</f>
        <v>20.7</v>
      </c>
      <c r="AN56" s="88">
        <f t="shared" si="164"/>
        <v>513.6</v>
      </c>
      <c r="AO56" s="101">
        <f>RCF!C$33</f>
        <v>16.57</v>
      </c>
      <c r="AP56" s="97">
        <f t="shared" si="165"/>
        <v>770.4</v>
      </c>
      <c r="AQ56" s="88">
        <f t="shared" si="166"/>
        <v>510.2</v>
      </c>
      <c r="AR56" s="101">
        <f>RCF!C$35</f>
        <v>16.46</v>
      </c>
      <c r="AS56" s="97">
        <f t="shared" si="167"/>
        <v>663.2</v>
      </c>
      <c r="AT56" s="97">
        <f t="shared" si="167"/>
        <v>739.7</v>
      </c>
      <c r="AU56" s="88">
        <f t="shared" si="168"/>
        <v>503.6</v>
      </c>
      <c r="AV56" s="101">
        <f>RCF!C$37</f>
        <v>16.247</v>
      </c>
      <c r="AW56" s="102">
        <v>501.8</v>
      </c>
      <c r="AX56" s="101"/>
      <c r="AY56" s="88">
        <f t="shared" si="169"/>
        <v>512.70000000000005</v>
      </c>
      <c r="AZ56" s="101">
        <f>RCF!C$39</f>
        <v>16.54</v>
      </c>
      <c r="BA56" s="88">
        <f t="shared" si="170"/>
        <v>489.1</v>
      </c>
      <c r="BB56" s="101">
        <f>RCF!C$41</f>
        <v>15.779</v>
      </c>
    </row>
    <row r="57" spans="1:54" s="103" customFormat="1" x14ac:dyDescent="0.2">
      <c r="A57" s="122" t="s">
        <v>41</v>
      </c>
      <c r="B57" s="99" t="s">
        <v>53</v>
      </c>
      <c r="C57" s="100">
        <v>26</v>
      </c>
      <c r="D57" s="88">
        <f t="shared" si="150"/>
        <v>1547.5</v>
      </c>
      <c r="E57" s="101">
        <f>RCF!$C$43</f>
        <v>59.519182319999999</v>
      </c>
      <c r="F57" s="88">
        <f t="shared" si="151"/>
        <v>410.5</v>
      </c>
      <c r="G57" s="101">
        <f>RCF!C$5</f>
        <v>15.792</v>
      </c>
      <c r="H57" s="88">
        <f t="shared" si="152"/>
        <v>410.59199999999998</v>
      </c>
      <c r="I57" s="101">
        <f t="shared" si="173"/>
        <v>15.792</v>
      </c>
      <c r="J57" s="97">
        <f t="shared" si="171"/>
        <v>451.65120000000002</v>
      </c>
      <c r="K57" s="97">
        <f t="shared" si="171"/>
        <v>562.51103999999998</v>
      </c>
      <c r="L57" s="97">
        <f t="shared" si="171"/>
        <v>603.57024000000001</v>
      </c>
      <c r="M57" s="97">
        <f t="shared" si="171"/>
        <v>665.15904</v>
      </c>
      <c r="N57" s="97">
        <f t="shared" si="171"/>
        <v>821.18399999999997</v>
      </c>
      <c r="O57" s="97">
        <f t="shared" si="171"/>
        <v>882.77279999999996</v>
      </c>
      <c r="P57" s="97">
        <f t="shared" si="171"/>
        <v>1231.7759999999998</v>
      </c>
      <c r="Q57" s="88">
        <f t="shared" si="154"/>
        <v>402.7</v>
      </c>
      <c r="R57" s="101">
        <f>RCF!C$7</f>
        <v>15.49</v>
      </c>
      <c r="S57" s="97">
        <f t="shared" si="155"/>
        <v>523.5</v>
      </c>
      <c r="T57" s="97">
        <f t="shared" si="155"/>
        <v>604</v>
      </c>
      <c r="U57" s="88">
        <f t="shared" si="156"/>
        <v>397.9</v>
      </c>
      <c r="V57" s="101">
        <f>RCF!C$9</f>
        <v>15.304</v>
      </c>
      <c r="W57" s="88">
        <f t="shared" si="157"/>
        <v>397.9</v>
      </c>
      <c r="X57" s="101">
        <f t="shared" si="174"/>
        <v>15.304</v>
      </c>
      <c r="Y57" s="97">
        <f t="shared" si="158"/>
        <v>437.6</v>
      </c>
      <c r="Z57" s="97">
        <f t="shared" si="172"/>
        <v>545.1</v>
      </c>
      <c r="AA57" s="97">
        <f t="shared" si="172"/>
        <v>644.6</v>
      </c>
      <c r="AB57" s="97">
        <f t="shared" si="172"/>
        <v>584.9</v>
      </c>
      <c r="AC57" s="97">
        <f t="shared" si="172"/>
        <v>863.5</v>
      </c>
      <c r="AD57" s="97">
        <f t="shared" si="172"/>
        <v>1193.7</v>
      </c>
      <c r="AE57" s="88">
        <f t="shared" si="160"/>
        <v>403.5</v>
      </c>
      <c r="AF57" s="101">
        <f>RCF!C$13</f>
        <v>15.52</v>
      </c>
      <c r="AG57" s="97">
        <f t="shared" si="161"/>
        <v>665.8</v>
      </c>
      <c r="AH57" s="97">
        <f t="shared" si="161"/>
        <v>847.4</v>
      </c>
      <c r="AI57" s="97">
        <f t="shared" si="161"/>
        <v>1210.5</v>
      </c>
      <c r="AJ57" s="88">
        <f t="shared" si="162"/>
        <v>408.1</v>
      </c>
      <c r="AK57" s="101">
        <f>RCF!C$25</f>
        <v>15.696666666666665</v>
      </c>
      <c r="AL57" s="88">
        <f t="shared" si="163"/>
        <v>538.20000000000005</v>
      </c>
      <c r="AM57" s="101">
        <f>RCF!C$29</f>
        <v>20.7</v>
      </c>
      <c r="AN57" s="88">
        <f t="shared" si="164"/>
        <v>430.8</v>
      </c>
      <c r="AO57" s="101">
        <f>RCF!C$33</f>
        <v>16.57</v>
      </c>
      <c r="AP57" s="97">
        <f t="shared" si="165"/>
        <v>646.20000000000005</v>
      </c>
      <c r="AQ57" s="88">
        <f t="shared" si="166"/>
        <v>427.9</v>
      </c>
      <c r="AR57" s="101">
        <f>RCF!C$35</f>
        <v>16.46</v>
      </c>
      <c r="AS57" s="97">
        <f t="shared" si="167"/>
        <v>556.20000000000005</v>
      </c>
      <c r="AT57" s="97">
        <f t="shared" si="167"/>
        <v>620.4</v>
      </c>
      <c r="AU57" s="88">
        <f t="shared" si="168"/>
        <v>422.4</v>
      </c>
      <c r="AV57" s="101">
        <f>RCF!C$37</f>
        <v>16.247</v>
      </c>
      <c r="AW57" s="102">
        <v>420.9</v>
      </c>
      <c r="AX57" s="101"/>
      <c r="AY57" s="88">
        <f t="shared" si="169"/>
        <v>430</v>
      </c>
      <c r="AZ57" s="101">
        <f>RCF!C$39</f>
        <v>16.54</v>
      </c>
      <c r="BA57" s="88">
        <f t="shared" si="170"/>
        <v>410.2</v>
      </c>
      <c r="BB57" s="101">
        <f>RCF!C$41</f>
        <v>15.779</v>
      </c>
    </row>
    <row r="58" spans="1:54" s="103" customFormat="1" x14ac:dyDescent="0.2">
      <c r="A58" s="122">
        <v>4733</v>
      </c>
      <c r="B58" s="99" t="s">
        <v>196</v>
      </c>
      <c r="C58" s="100">
        <v>20</v>
      </c>
      <c r="D58" s="88">
        <f t="shared" si="150"/>
        <v>1190.4000000000001</v>
      </c>
      <c r="E58" s="101">
        <f>RCF!$C$43</f>
        <v>59.519182319999999</v>
      </c>
      <c r="F58" s="88">
        <f t="shared" si="151"/>
        <v>315.8</v>
      </c>
      <c r="G58" s="101">
        <f>RCF!C$5</f>
        <v>15.792</v>
      </c>
      <c r="H58" s="88">
        <f t="shared" si="152"/>
        <v>315.83999999999997</v>
      </c>
      <c r="I58" s="101">
        <f t="shared" si="173"/>
        <v>15.792</v>
      </c>
      <c r="J58" s="97">
        <f t="shared" si="171"/>
        <v>347.42399999999998</v>
      </c>
      <c r="K58" s="97">
        <f t="shared" si="171"/>
        <v>432.70080000000002</v>
      </c>
      <c r="L58" s="97">
        <f t="shared" si="171"/>
        <v>464.28479999999996</v>
      </c>
      <c r="M58" s="97">
        <f t="shared" si="171"/>
        <v>511.66079999999999</v>
      </c>
      <c r="N58" s="97">
        <f t="shared" si="171"/>
        <v>631.67999999999995</v>
      </c>
      <c r="O58" s="97">
        <f t="shared" si="171"/>
        <v>679.05599999999993</v>
      </c>
      <c r="P58" s="97">
        <f t="shared" si="171"/>
        <v>947.52</v>
      </c>
      <c r="Q58" s="88">
        <f t="shared" si="154"/>
        <v>309.8</v>
      </c>
      <c r="R58" s="101">
        <f>RCF!C$7</f>
        <v>15.49</v>
      </c>
      <c r="S58" s="97">
        <f t="shared" si="155"/>
        <v>402.7</v>
      </c>
      <c r="T58" s="97">
        <f t="shared" si="155"/>
        <v>464.7</v>
      </c>
      <c r="U58" s="88">
        <f t="shared" si="156"/>
        <v>306</v>
      </c>
      <c r="V58" s="101">
        <f>RCF!C$9</f>
        <v>15.304</v>
      </c>
      <c r="W58" s="88">
        <f t="shared" si="157"/>
        <v>306</v>
      </c>
      <c r="X58" s="101">
        <f t="shared" si="174"/>
        <v>15.304</v>
      </c>
      <c r="Y58" s="97">
        <f t="shared" si="158"/>
        <v>336.6</v>
      </c>
      <c r="Z58" s="97">
        <f t="shared" si="172"/>
        <v>419.3</v>
      </c>
      <c r="AA58" s="97">
        <f t="shared" si="172"/>
        <v>495.8</v>
      </c>
      <c r="AB58" s="97">
        <f t="shared" si="172"/>
        <v>449.9</v>
      </c>
      <c r="AC58" s="97">
        <f t="shared" si="172"/>
        <v>664.2</v>
      </c>
      <c r="AD58" s="97">
        <f t="shared" si="172"/>
        <v>918.2</v>
      </c>
      <c r="AE58" s="88">
        <f t="shared" si="160"/>
        <v>310.39999999999998</v>
      </c>
      <c r="AF58" s="101">
        <f>RCF!C$13</f>
        <v>15.52</v>
      </c>
      <c r="AG58" s="97">
        <f t="shared" si="161"/>
        <v>512.20000000000005</v>
      </c>
      <c r="AH58" s="97">
        <f t="shared" si="161"/>
        <v>651.79999999999995</v>
      </c>
      <c r="AI58" s="97">
        <f t="shared" si="161"/>
        <v>931.2</v>
      </c>
      <c r="AJ58" s="88">
        <f t="shared" si="162"/>
        <v>313.89999999999998</v>
      </c>
      <c r="AK58" s="101">
        <f>RCF!C$25</f>
        <v>15.696666666666665</v>
      </c>
      <c r="AL58" s="88">
        <f t="shared" si="163"/>
        <v>414</v>
      </c>
      <c r="AM58" s="101">
        <f>RCF!C$29</f>
        <v>20.7</v>
      </c>
      <c r="AN58" s="88">
        <f t="shared" si="164"/>
        <v>331.4</v>
      </c>
      <c r="AO58" s="101">
        <f>RCF!C$33</f>
        <v>16.57</v>
      </c>
      <c r="AP58" s="97">
        <f t="shared" si="165"/>
        <v>497.1</v>
      </c>
      <c r="AQ58" s="88">
        <f t="shared" si="166"/>
        <v>329.2</v>
      </c>
      <c r="AR58" s="101">
        <f>RCF!C$35</f>
        <v>16.46</v>
      </c>
      <c r="AS58" s="97">
        <f t="shared" si="167"/>
        <v>427.9</v>
      </c>
      <c r="AT58" s="97">
        <f t="shared" si="167"/>
        <v>477.3</v>
      </c>
      <c r="AU58" s="88">
        <f t="shared" si="168"/>
        <v>324.89999999999998</v>
      </c>
      <c r="AV58" s="101">
        <f>RCF!C$37</f>
        <v>16.247</v>
      </c>
      <c r="AW58" s="102">
        <v>323.8</v>
      </c>
      <c r="AX58" s="101"/>
      <c r="AY58" s="88">
        <f t="shared" si="169"/>
        <v>330.8</v>
      </c>
      <c r="AZ58" s="101">
        <f>RCF!C$39</f>
        <v>16.54</v>
      </c>
      <c r="BA58" s="88">
        <f t="shared" si="170"/>
        <v>315.5</v>
      </c>
      <c r="BB58" s="101">
        <f>RCF!C$41</f>
        <v>15.779</v>
      </c>
    </row>
    <row r="59" spans="1:54" s="103" customFormat="1" ht="25.5" x14ac:dyDescent="0.2">
      <c r="A59" s="123" t="s">
        <v>62</v>
      </c>
      <c r="B59" s="99" t="s">
        <v>54</v>
      </c>
      <c r="C59" s="100">
        <v>128</v>
      </c>
      <c r="D59" s="124">
        <f t="shared" si="150"/>
        <v>1925.2</v>
      </c>
      <c r="E59" s="125">
        <f>BB59</f>
        <v>15.041</v>
      </c>
      <c r="F59" s="88">
        <f t="shared" si="151"/>
        <v>1926.6</v>
      </c>
      <c r="G59" s="101">
        <f>RCF!F$5</f>
        <v>15.052</v>
      </c>
      <c r="H59" s="88">
        <f t="shared" si="152"/>
        <v>1926.6559999999999</v>
      </c>
      <c r="I59" s="101">
        <f t="shared" si="173"/>
        <v>15.052</v>
      </c>
      <c r="J59" s="97">
        <f t="shared" si="171"/>
        <v>2119.3216000000002</v>
      </c>
      <c r="K59" s="97">
        <f t="shared" si="171"/>
        <v>2639.51872</v>
      </c>
      <c r="L59" s="97">
        <f t="shared" si="171"/>
        <v>2832.1843199999998</v>
      </c>
      <c r="M59" s="97">
        <f t="shared" si="171"/>
        <v>3121.1827200000002</v>
      </c>
      <c r="N59" s="97">
        <f t="shared" si="171"/>
        <v>3853.3119999999999</v>
      </c>
      <c r="O59" s="97">
        <f t="shared" si="171"/>
        <v>4142.3103999999994</v>
      </c>
      <c r="P59" s="97">
        <f t="shared" si="171"/>
        <v>5779.9679999999998</v>
      </c>
      <c r="Q59" s="88">
        <f t="shared" si="154"/>
        <v>1895.6</v>
      </c>
      <c r="R59" s="101">
        <f>RCF!F$7</f>
        <v>14.81</v>
      </c>
      <c r="S59" s="97">
        <f t="shared" si="155"/>
        <v>2464.1999999999998</v>
      </c>
      <c r="T59" s="97">
        <f t="shared" si="155"/>
        <v>2843.4</v>
      </c>
      <c r="U59" s="88">
        <f t="shared" si="156"/>
        <v>1867.3</v>
      </c>
      <c r="V59" s="101">
        <f>RCF!F$9</f>
        <v>14.589</v>
      </c>
      <c r="W59" s="88">
        <f t="shared" si="157"/>
        <v>1867.3</v>
      </c>
      <c r="X59" s="101">
        <f t="shared" si="174"/>
        <v>14.589</v>
      </c>
      <c r="Y59" s="97">
        <f t="shared" si="158"/>
        <v>2054</v>
      </c>
      <c r="Z59" s="97">
        <f t="shared" si="172"/>
        <v>2558.3000000000002</v>
      </c>
      <c r="AA59" s="97">
        <f t="shared" si="172"/>
        <v>3025.2</v>
      </c>
      <c r="AB59" s="97">
        <f t="shared" si="172"/>
        <v>2745.1</v>
      </c>
      <c r="AC59" s="97">
        <f t="shared" si="172"/>
        <v>4052.2</v>
      </c>
      <c r="AD59" s="97">
        <f t="shared" si="172"/>
        <v>5602.2</v>
      </c>
      <c r="AE59" s="88">
        <f t="shared" si="160"/>
        <v>1895.6</v>
      </c>
      <c r="AF59" s="101">
        <f>RCF!F$13</f>
        <v>14.81</v>
      </c>
      <c r="AG59" s="97">
        <f t="shared" si="161"/>
        <v>3127.7</v>
      </c>
      <c r="AH59" s="97">
        <f t="shared" si="161"/>
        <v>3980.8</v>
      </c>
      <c r="AI59" s="97">
        <f t="shared" si="161"/>
        <v>5686.8</v>
      </c>
      <c r="AJ59" s="88">
        <f t="shared" si="162"/>
        <v>1914.8</v>
      </c>
      <c r="AK59" s="101">
        <f>RCF!F$25</f>
        <v>14.96</v>
      </c>
      <c r="AL59" s="88">
        <f t="shared" si="163"/>
        <v>2526.1999999999998</v>
      </c>
      <c r="AM59" s="101">
        <f>RCF!F$29</f>
        <v>19.736000000000001</v>
      </c>
      <c r="AN59" s="88">
        <f t="shared" si="164"/>
        <v>2020.8</v>
      </c>
      <c r="AO59" s="101">
        <f>RCF!F$33</f>
        <v>15.788</v>
      </c>
      <c r="AP59" s="97">
        <f t="shared" si="165"/>
        <v>3031.2</v>
      </c>
      <c r="AQ59" s="88">
        <f t="shared" si="166"/>
        <v>2018.5</v>
      </c>
      <c r="AR59" s="101">
        <f>RCF!F$35</f>
        <v>15.77</v>
      </c>
      <c r="AS59" s="97">
        <f t="shared" si="167"/>
        <v>2624</v>
      </c>
      <c r="AT59" s="97">
        <f t="shared" si="167"/>
        <v>2926.8</v>
      </c>
      <c r="AU59" s="88">
        <f t="shared" si="168"/>
        <v>1982.9</v>
      </c>
      <c r="AV59" s="101">
        <f>RCF!F$37</f>
        <v>15.492000000000001</v>
      </c>
      <c r="AW59" s="102">
        <v>1974.8</v>
      </c>
      <c r="AX59" s="101"/>
      <c r="AY59" s="88">
        <f t="shared" si="169"/>
        <v>2005.7</v>
      </c>
      <c r="AZ59" s="101">
        <f>RCF!F$39</f>
        <v>15.67</v>
      </c>
      <c r="BA59" s="88">
        <f t="shared" si="170"/>
        <v>1925.2</v>
      </c>
      <c r="BB59" s="101">
        <f>RCF!F$41</f>
        <v>15.041</v>
      </c>
    </row>
    <row r="60" spans="1:54" s="103" customFormat="1" ht="51" x14ac:dyDescent="0.2">
      <c r="A60" s="122" t="s">
        <v>36</v>
      </c>
      <c r="B60" s="99" t="s">
        <v>55</v>
      </c>
      <c r="C60" s="100">
        <v>294.60000000000002</v>
      </c>
      <c r="D60" s="88">
        <f t="shared" si="150"/>
        <v>17534.400000000001</v>
      </c>
      <c r="E60" s="101">
        <f>RCF!$C$43</f>
        <v>59.519182319999999</v>
      </c>
      <c r="F60" s="88">
        <f t="shared" si="151"/>
        <v>4652.3</v>
      </c>
      <c r="G60" s="101">
        <f>RCF!C$5</f>
        <v>15.792</v>
      </c>
      <c r="H60" s="88">
        <f t="shared" si="152"/>
        <v>4652.3232000000007</v>
      </c>
      <c r="I60" s="101">
        <f t="shared" si="173"/>
        <v>15.792</v>
      </c>
      <c r="J60" s="97">
        <f t="shared" si="171"/>
        <v>5117.5555200000008</v>
      </c>
      <c r="K60" s="97">
        <f t="shared" si="171"/>
        <v>6373.6827840000014</v>
      </c>
      <c r="L60" s="97">
        <f t="shared" si="171"/>
        <v>6838.9151040000006</v>
      </c>
      <c r="M60" s="97">
        <f t="shared" si="171"/>
        <v>7536.7635840000021</v>
      </c>
      <c r="N60" s="97">
        <f t="shared" si="171"/>
        <v>9304.6464000000014</v>
      </c>
      <c r="O60" s="97">
        <f t="shared" si="171"/>
        <v>10002.494880000002</v>
      </c>
      <c r="P60" s="97">
        <f t="shared" si="171"/>
        <v>13956.969600000002</v>
      </c>
      <c r="Q60" s="88">
        <f t="shared" si="154"/>
        <v>4563.3</v>
      </c>
      <c r="R60" s="101">
        <f>RCF!C$7</f>
        <v>15.49</v>
      </c>
      <c r="S60" s="97">
        <f t="shared" si="155"/>
        <v>5932.2</v>
      </c>
      <c r="T60" s="97">
        <f t="shared" si="155"/>
        <v>6844.9</v>
      </c>
      <c r="U60" s="88">
        <f t="shared" si="156"/>
        <v>4508.5</v>
      </c>
      <c r="V60" s="101">
        <f>RCF!C$9</f>
        <v>15.304</v>
      </c>
      <c r="W60" s="88">
        <f t="shared" si="157"/>
        <v>4508.5</v>
      </c>
      <c r="X60" s="101">
        <f t="shared" si="174"/>
        <v>15.304</v>
      </c>
      <c r="Y60" s="97">
        <f t="shared" si="158"/>
        <v>4959.3</v>
      </c>
      <c r="Z60" s="97">
        <f t="shared" si="172"/>
        <v>6176.7</v>
      </c>
      <c r="AA60" s="97">
        <f t="shared" si="172"/>
        <v>7303.9</v>
      </c>
      <c r="AB60" s="97">
        <f t="shared" si="172"/>
        <v>6627.6</v>
      </c>
      <c r="AC60" s="97">
        <f t="shared" si="172"/>
        <v>9783.6</v>
      </c>
      <c r="AD60" s="97">
        <f t="shared" si="172"/>
        <v>13525.7</v>
      </c>
      <c r="AE60" s="88">
        <f t="shared" si="160"/>
        <v>4572.1000000000004</v>
      </c>
      <c r="AF60" s="101">
        <f>RCF!C$13</f>
        <v>15.52</v>
      </c>
      <c r="AG60" s="97">
        <f t="shared" si="161"/>
        <v>7544</v>
      </c>
      <c r="AH60" s="97">
        <f t="shared" si="161"/>
        <v>9601.4</v>
      </c>
      <c r="AI60" s="97">
        <f t="shared" si="161"/>
        <v>13716.3</v>
      </c>
      <c r="AJ60" s="88">
        <f t="shared" si="162"/>
        <v>4624.2</v>
      </c>
      <c r="AK60" s="101">
        <f>RCF!C$25</f>
        <v>15.696666666666665</v>
      </c>
      <c r="AL60" s="88">
        <f t="shared" si="163"/>
        <v>6098.2</v>
      </c>
      <c r="AM60" s="101">
        <f>RCF!C$29</f>
        <v>20.7</v>
      </c>
      <c r="AN60" s="88">
        <f t="shared" si="164"/>
        <v>4881.5</v>
      </c>
      <c r="AO60" s="101">
        <f>RCF!C$33</f>
        <v>16.57</v>
      </c>
      <c r="AP60" s="97">
        <f t="shared" si="165"/>
        <v>7322.2</v>
      </c>
      <c r="AQ60" s="88">
        <f t="shared" si="166"/>
        <v>4849.1000000000004</v>
      </c>
      <c r="AR60" s="101">
        <f>RCF!C$35</f>
        <v>16.46</v>
      </c>
      <c r="AS60" s="97">
        <f t="shared" si="167"/>
        <v>6303.8</v>
      </c>
      <c r="AT60" s="97">
        <f t="shared" si="167"/>
        <v>7031.1</v>
      </c>
      <c r="AU60" s="88">
        <f t="shared" si="168"/>
        <v>4786.3</v>
      </c>
      <c r="AV60" s="101">
        <f>RCF!C$37</f>
        <v>16.247</v>
      </c>
      <c r="AW60" s="102">
        <v>0</v>
      </c>
      <c r="AX60" s="101"/>
      <c r="AY60" s="88">
        <f t="shared" si="169"/>
        <v>4872.6000000000004</v>
      </c>
      <c r="AZ60" s="101">
        <f>RCF!C$39</f>
        <v>16.54</v>
      </c>
      <c r="BA60" s="88">
        <f t="shared" si="170"/>
        <v>4648.3999999999996</v>
      </c>
      <c r="BB60" s="101">
        <f>RCF!C$41</f>
        <v>15.779</v>
      </c>
    </row>
    <row r="61" spans="1:54" s="103" customFormat="1" ht="25.5" x14ac:dyDescent="0.2">
      <c r="A61" s="122" t="s">
        <v>40</v>
      </c>
      <c r="B61" s="99" t="s">
        <v>56</v>
      </c>
      <c r="C61" s="100">
        <v>128</v>
      </c>
      <c r="D61" s="88">
        <f t="shared" si="150"/>
        <v>7618.5</v>
      </c>
      <c r="E61" s="101">
        <f>RCF!$C$43</f>
        <v>59.519182319999999</v>
      </c>
      <c r="F61" s="88">
        <f t="shared" si="151"/>
        <v>2021.3</v>
      </c>
      <c r="G61" s="101">
        <f>RCF!C$5</f>
        <v>15.792</v>
      </c>
      <c r="H61" s="88">
        <f t="shared" si="152"/>
        <v>2021.376</v>
      </c>
      <c r="I61" s="101">
        <f t="shared" si="173"/>
        <v>15.792</v>
      </c>
      <c r="J61" s="97">
        <f t="shared" si="171"/>
        <v>2223.5136000000002</v>
      </c>
      <c r="K61" s="97">
        <f t="shared" si="171"/>
        <v>2769.28512</v>
      </c>
      <c r="L61" s="97">
        <f t="shared" si="171"/>
        <v>2971.42272</v>
      </c>
      <c r="M61" s="97">
        <f t="shared" si="171"/>
        <v>3274.6291200000001</v>
      </c>
      <c r="N61" s="97">
        <f t="shared" si="171"/>
        <v>4042.752</v>
      </c>
      <c r="O61" s="97">
        <f t="shared" si="171"/>
        <v>4345.9583999999995</v>
      </c>
      <c r="P61" s="97">
        <f t="shared" si="171"/>
        <v>6064.1279999999997</v>
      </c>
      <c r="Q61" s="88">
        <f t="shared" si="154"/>
        <v>1982.7</v>
      </c>
      <c r="R61" s="101">
        <f>RCF!C$7</f>
        <v>15.49</v>
      </c>
      <c r="S61" s="97">
        <f t="shared" si="155"/>
        <v>2577.5</v>
      </c>
      <c r="T61" s="97">
        <f t="shared" si="155"/>
        <v>2974</v>
      </c>
      <c r="U61" s="88">
        <f t="shared" si="156"/>
        <v>1958.9</v>
      </c>
      <c r="V61" s="101">
        <f>RCF!C$9</f>
        <v>15.304</v>
      </c>
      <c r="W61" s="88">
        <f t="shared" si="157"/>
        <v>1958.9</v>
      </c>
      <c r="X61" s="101">
        <f t="shared" si="174"/>
        <v>15.304</v>
      </c>
      <c r="Y61" s="97">
        <f t="shared" si="158"/>
        <v>2154.6999999999998</v>
      </c>
      <c r="Z61" s="97">
        <f t="shared" si="172"/>
        <v>2683.7</v>
      </c>
      <c r="AA61" s="97">
        <f t="shared" si="172"/>
        <v>3173.4</v>
      </c>
      <c r="AB61" s="97">
        <f t="shared" si="172"/>
        <v>2879.6</v>
      </c>
      <c r="AC61" s="97">
        <f t="shared" si="172"/>
        <v>4250.8</v>
      </c>
      <c r="AD61" s="97">
        <f t="shared" si="172"/>
        <v>5876.7</v>
      </c>
      <c r="AE61" s="88">
        <f t="shared" si="160"/>
        <v>1986.5</v>
      </c>
      <c r="AF61" s="101">
        <f>RCF!C$13</f>
        <v>15.52</v>
      </c>
      <c r="AG61" s="97">
        <f t="shared" si="161"/>
        <v>3277.7</v>
      </c>
      <c r="AH61" s="97">
        <f t="shared" si="161"/>
        <v>4171.7</v>
      </c>
      <c r="AI61" s="97">
        <f t="shared" si="161"/>
        <v>5959.5</v>
      </c>
      <c r="AJ61" s="88">
        <f t="shared" si="162"/>
        <v>2009.1</v>
      </c>
      <c r="AK61" s="101">
        <f>RCF!C$25</f>
        <v>15.696666666666665</v>
      </c>
      <c r="AL61" s="88">
        <f t="shared" si="163"/>
        <v>2649.6</v>
      </c>
      <c r="AM61" s="101">
        <f>RCF!C$29</f>
        <v>20.7</v>
      </c>
      <c r="AN61" s="88">
        <f t="shared" si="164"/>
        <v>2120.9</v>
      </c>
      <c r="AO61" s="101">
        <f>RCF!C$33</f>
        <v>16.57</v>
      </c>
      <c r="AP61" s="97">
        <f t="shared" si="165"/>
        <v>3181.3</v>
      </c>
      <c r="AQ61" s="88">
        <f t="shared" si="166"/>
        <v>2106.8000000000002</v>
      </c>
      <c r="AR61" s="101">
        <f>RCF!C$35</f>
        <v>16.46</v>
      </c>
      <c r="AS61" s="97">
        <f t="shared" si="167"/>
        <v>2738.8</v>
      </c>
      <c r="AT61" s="97">
        <f t="shared" si="167"/>
        <v>3054.8</v>
      </c>
      <c r="AU61" s="88">
        <f t="shared" si="168"/>
        <v>2079.6</v>
      </c>
      <c r="AV61" s="101">
        <f>RCF!C$37</f>
        <v>16.247</v>
      </c>
      <c r="AW61" s="102">
        <v>2081.8000000000002</v>
      </c>
      <c r="AX61" s="101"/>
      <c r="AY61" s="88">
        <f t="shared" si="169"/>
        <v>2117.1</v>
      </c>
      <c r="AZ61" s="101">
        <f>RCF!C$39</f>
        <v>16.54</v>
      </c>
      <c r="BA61" s="88">
        <f t="shared" si="170"/>
        <v>2019.7</v>
      </c>
      <c r="BB61" s="101">
        <f>RCF!C$41</f>
        <v>15.779</v>
      </c>
    </row>
    <row r="62" spans="1:54" x14ac:dyDescent="0.2">
      <c r="A62" s="126"/>
      <c r="B62" s="127"/>
      <c r="C62" s="128"/>
      <c r="D62" s="129"/>
      <c r="E62" s="130"/>
      <c r="F62" s="131"/>
      <c r="G62" s="130"/>
      <c r="H62" s="131"/>
      <c r="I62" s="130"/>
      <c r="J62" s="113"/>
      <c r="K62" s="113"/>
      <c r="L62" s="113"/>
      <c r="M62" s="113"/>
      <c r="N62" s="113"/>
      <c r="O62" s="113"/>
      <c r="P62" s="113"/>
      <c r="Q62" s="129"/>
      <c r="R62" s="130"/>
      <c r="S62" s="113"/>
      <c r="T62" s="113"/>
      <c r="U62" s="129"/>
      <c r="V62" s="130"/>
      <c r="W62" s="129"/>
      <c r="X62" s="130"/>
      <c r="Y62" s="133"/>
      <c r="Z62" s="133"/>
      <c r="AA62" s="133"/>
      <c r="AB62" s="133"/>
      <c r="AC62" s="133"/>
      <c r="AD62" s="133"/>
      <c r="AE62" s="132"/>
      <c r="AF62" s="129"/>
      <c r="AG62" s="133"/>
      <c r="AH62" s="133"/>
      <c r="AI62" s="133"/>
      <c r="AJ62" s="129"/>
      <c r="AK62" s="129"/>
      <c r="AL62" s="129"/>
      <c r="AM62" s="129"/>
      <c r="AN62" s="132"/>
      <c r="AO62" s="129"/>
      <c r="AP62" s="133"/>
      <c r="AQ62" s="132"/>
      <c r="AR62" s="129"/>
      <c r="AS62" s="133"/>
      <c r="AT62" s="133"/>
      <c r="AU62" s="132"/>
      <c r="AV62" s="129"/>
      <c r="AW62" s="131"/>
      <c r="AX62" s="129"/>
      <c r="AY62" s="132"/>
      <c r="AZ62" s="129"/>
      <c r="BA62" s="110"/>
      <c r="BB62" s="111"/>
    </row>
    <row r="63" spans="1:54" x14ac:dyDescent="0.2">
      <c r="A63" s="60"/>
      <c r="B63" s="61" t="s">
        <v>122</v>
      </c>
      <c r="C63" s="62"/>
      <c r="D63" s="63"/>
      <c r="E63" s="64"/>
      <c r="F63" s="63"/>
      <c r="G63" s="64"/>
      <c r="H63" s="63"/>
      <c r="I63" s="64"/>
      <c r="J63" s="64"/>
      <c r="K63" s="64"/>
      <c r="L63" s="64"/>
      <c r="M63" s="64"/>
      <c r="N63" s="64"/>
      <c r="O63" s="64"/>
      <c r="P63" s="64"/>
      <c r="Q63" s="63"/>
      <c r="R63" s="64"/>
      <c r="S63" s="64"/>
      <c r="T63" s="64"/>
      <c r="U63" s="65"/>
      <c r="V63" s="64"/>
      <c r="W63" s="65"/>
      <c r="X63" s="64"/>
      <c r="Y63" s="67"/>
      <c r="Z63" s="66"/>
      <c r="AA63" s="67"/>
      <c r="AB63" s="67"/>
      <c r="AC63" s="67"/>
      <c r="AD63" s="67"/>
      <c r="AE63" s="65"/>
      <c r="AF63" s="64"/>
      <c r="AG63" s="63"/>
      <c r="AH63" s="63"/>
      <c r="AI63" s="68"/>
      <c r="AJ63" s="63"/>
      <c r="AK63" s="63"/>
      <c r="AL63" s="63"/>
      <c r="AM63" s="63"/>
      <c r="AN63" s="65"/>
      <c r="AO63" s="64"/>
      <c r="AP63" s="63"/>
      <c r="AQ63" s="65"/>
      <c r="AR63" s="64"/>
      <c r="AS63" s="63"/>
      <c r="AT63" s="63"/>
      <c r="AU63" s="63"/>
      <c r="AV63" s="64"/>
      <c r="AW63" s="63"/>
      <c r="AX63" s="64"/>
      <c r="AY63" s="63"/>
      <c r="AZ63" s="64"/>
      <c r="BA63" s="64"/>
      <c r="BB63" s="151"/>
    </row>
    <row r="64" spans="1:54" x14ac:dyDescent="0.2">
      <c r="A64" s="115"/>
      <c r="B64" s="116"/>
      <c r="C64" s="152"/>
      <c r="D64" s="78"/>
      <c r="E64" s="118"/>
      <c r="F64" s="78"/>
      <c r="G64" s="118"/>
      <c r="H64" s="78"/>
      <c r="I64" s="118"/>
      <c r="J64" s="120"/>
      <c r="K64" s="120"/>
      <c r="L64" s="120"/>
      <c r="M64" s="120"/>
      <c r="N64" s="120"/>
      <c r="O64" s="120"/>
      <c r="P64" s="120"/>
      <c r="Q64" s="78"/>
      <c r="R64" s="118"/>
      <c r="S64" s="120"/>
      <c r="T64" s="120"/>
      <c r="U64" s="78"/>
      <c r="V64" s="118"/>
      <c r="W64" s="78"/>
      <c r="X64" s="118"/>
      <c r="Y64" s="153"/>
      <c r="Z64" s="153"/>
      <c r="AA64" s="153"/>
      <c r="AB64" s="153"/>
      <c r="AC64" s="153"/>
      <c r="AD64" s="153"/>
      <c r="AE64" s="119"/>
      <c r="AF64" s="118"/>
      <c r="AG64" s="120"/>
      <c r="AH64" s="120"/>
      <c r="AI64" s="120"/>
      <c r="AJ64" s="154"/>
      <c r="AK64" s="118"/>
      <c r="AL64" s="78"/>
      <c r="AM64" s="118"/>
      <c r="AN64" s="119"/>
      <c r="AO64" s="118"/>
      <c r="AP64" s="120"/>
      <c r="AQ64" s="78"/>
      <c r="AR64" s="118"/>
      <c r="AS64" s="120"/>
      <c r="AT64" s="120"/>
      <c r="AU64" s="78"/>
      <c r="AV64" s="118"/>
      <c r="AW64" s="78"/>
      <c r="AX64" s="118"/>
      <c r="AY64" s="78"/>
      <c r="AZ64" s="118"/>
      <c r="BA64" s="78"/>
      <c r="BB64" s="118"/>
    </row>
    <row r="65" spans="1:54" x14ac:dyDescent="0.2">
      <c r="A65" s="168">
        <v>2713</v>
      </c>
      <c r="B65" s="170" t="s">
        <v>123</v>
      </c>
      <c r="C65" s="169">
        <v>18.399999999999999</v>
      </c>
      <c r="D65" s="156">
        <f t="shared" ref="D65:D77" si="175">ROUND(E65*C65,1)</f>
        <v>1095.2</v>
      </c>
      <c r="E65" s="157">
        <f>RCF!$C$43</f>
        <v>59.519182319999999</v>
      </c>
      <c r="F65" s="156">
        <f t="shared" ref="F65:F77" si="176">ROUNDDOWN($C65*G65,1)</f>
        <v>290.5</v>
      </c>
      <c r="G65" s="157">
        <f>RCF!C$5</f>
        <v>15.792</v>
      </c>
      <c r="H65" s="156">
        <f t="shared" ref="H65:H77" si="177">I65*C65</f>
        <v>290.57279999999997</v>
      </c>
      <c r="I65" s="157">
        <f t="shared" ref="I65:I77" si="178">G65</f>
        <v>15.792</v>
      </c>
      <c r="J65" s="158">
        <f t="shared" ref="J65:P77" si="179">$C65*$I65*J$6</f>
        <v>319.63008000000002</v>
      </c>
      <c r="K65" s="158">
        <f t="shared" si="179"/>
        <v>398.08473600000002</v>
      </c>
      <c r="L65" s="158">
        <f t="shared" si="179"/>
        <v>427.14201599999996</v>
      </c>
      <c r="M65" s="158">
        <f t="shared" si="179"/>
        <v>470.727936</v>
      </c>
      <c r="N65" s="158">
        <f t="shared" si="179"/>
        <v>581.14559999999994</v>
      </c>
      <c r="O65" s="158">
        <f t="shared" si="179"/>
        <v>624.73151999999993</v>
      </c>
      <c r="P65" s="158">
        <f t="shared" si="179"/>
        <v>871.71839999999997</v>
      </c>
      <c r="Q65" s="156">
        <f t="shared" ref="Q65:Q77" si="180">ROUNDDOWN($C65*R65,1)</f>
        <v>285</v>
      </c>
      <c r="R65" s="157">
        <f>RCF!C$7</f>
        <v>15.49</v>
      </c>
      <c r="S65" s="158">
        <f t="shared" ref="S65:T77" si="181">ROUNDDOWN($Q65*S$6,1)</f>
        <v>370.5</v>
      </c>
      <c r="T65" s="158">
        <f t="shared" si="181"/>
        <v>427.5</v>
      </c>
      <c r="U65" s="156">
        <f t="shared" ref="U65:U77" si="182">ROUNDDOWN($C65*V65,1)</f>
        <v>281.5</v>
      </c>
      <c r="V65" s="157">
        <f>RCF!C$9</f>
        <v>15.304</v>
      </c>
      <c r="W65" s="156">
        <f t="shared" ref="W65:W77" si="183">ROUNDDOWN($C65*X65,1)</f>
        <v>281.5</v>
      </c>
      <c r="X65" s="157">
        <f t="shared" ref="X65:X77" si="184">V65</f>
        <v>15.304</v>
      </c>
      <c r="Y65" s="158">
        <f t="shared" ref="Y65:Y77" si="185">ROUNDDOWN($W65*Y$6,1)</f>
        <v>309.60000000000002</v>
      </c>
      <c r="Z65" s="158">
        <f t="shared" ref="Z65:AD77" si="186">ROUND($C65*$X65*Z$6,1)</f>
        <v>385.8</v>
      </c>
      <c r="AA65" s="158">
        <f t="shared" si="186"/>
        <v>456.2</v>
      </c>
      <c r="AB65" s="158">
        <f t="shared" si="186"/>
        <v>413.9</v>
      </c>
      <c r="AC65" s="158">
        <f t="shared" si="186"/>
        <v>611.1</v>
      </c>
      <c r="AD65" s="158">
        <f t="shared" si="186"/>
        <v>844.8</v>
      </c>
      <c r="AE65" s="156">
        <f t="shared" ref="AE65:AE77" si="187">ROUNDDOWN($C65*AF65,1)</f>
        <v>285.5</v>
      </c>
      <c r="AF65" s="157">
        <f>RCF!C$13</f>
        <v>15.52</v>
      </c>
      <c r="AG65" s="158">
        <f t="shared" ref="AG65:AI77" si="188">ROUND($AE65*AG$6,1)</f>
        <v>471.1</v>
      </c>
      <c r="AH65" s="158">
        <f t="shared" si="188"/>
        <v>599.6</v>
      </c>
      <c r="AI65" s="158">
        <f t="shared" si="188"/>
        <v>856.5</v>
      </c>
      <c r="AJ65" s="156">
        <f t="shared" ref="AJ65:AJ77" si="189">ROUNDDOWN($C65*AK65,1)</f>
        <v>288.8</v>
      </c>
      <c r="AK65" s="157">
        <f>RCF!C$25</f>
        <v>15.696666666666665</v>
      </c>
      <c r="AL65" s="156">
        <f t="shared" ref="AL65:AL77" si="190">ROUNDDOWN($C65*AM65,1)</f>
        <v>380.8</v>
      </c>
      <c r="AM65" s="157">
        <f>RCF!C$29</f>
        <v>20.7</v>
      </c>
      <c r="AN65" s="156">
        <f t="shared" ref="AN65:AN77" si="191">ROUNDDOWN($C65*AO65,1)</f>
        <v>304.8</v>
      </c>
      <c r="AO65" s="157">
        <f>RCF!C$33</f>
        <v>16.57</v>
      </c>
      <c r="AP65" s="158">
        <f t="shared" ref="AP65:AP77" si="192">ROUNDDOWN($AN65*AP$6,1)</f>
        <v>457.2</v>
      </c>
      <c r="AQ65" s="156">
        <f t="shared" ref="AQ65:AQ77" si="193">ROUNDDOWN($C65*AR65,1)</f>
        <v>302.8</v>
      </c>
      <c r="AR65" s="157">
        <f>RCF!C$35</f>
        <v>16.46</v>
      </c>
      <c r="AS65" s="158">
        <f t="shared" ref="AS65:AT77" si="194">ROUNDDOWN($AQ65*AS$6,1)</f>
        <v>393.6</v>
      </c>
      <c r="AT65" s="158">
        <f t="shared" si="194"/>
        <v>439</v>
      </c>
      <c r="AU65" s="156">
        <f t="shared" ref="AU65:AU77" si="195">ROUNDDOWN($C65*AV65,1)</f>
        <v>298.89999999999998</v>
      </c>
      <c r="AV65" s="157">
        <f>RCF!C$37</f>
        <v>16.247</v>
      </c>
      <c r="AW65" s="251">
        <v>297.89999999999998</v>
      </c>
      <c r="AX65" s="157"/>
      <c r="AY65" s="156">
        <f t="shared" ref="AY65:AY77" si="196">ROUNDDOWN($C65*AZ65,1)</f>
        <v>304.3</v>
      </c>
      <c r="AZ65" s="157">
        <f>RCF!C$39</f>
        <v>16.54</v>
      </c>
      <c r="BA65" s="156">
        <f t="shared" ref="BA65:BA77" si="197">ROUNDDOWN($C65*BB65,1)</f>
        <v>290.3</v>
      </c>
      <c r="BB65" s="157">
        <f>RCF!C$41</f>
        <v>15.779</v>
      </c>
    </row>
    <row r="66" spans="1:54" ht="25.5" x14ac:dyDescent="0.2">
      <c r="A66" s="168">
        <v>2734</v>
      </c>
      <c r="B66" s="170" t="s">
        <v>124</v>
      </c>
      <c r="C66" s="169">
        <v>172.5</v>
      </c>
      <c r="D66" s="156">
        <f t="shared" si="175"/>
        <v>10267.1</v>
      </c>
      <c r="E66" s="157">
        <f>RCF!$C$43</f>
        <v>59.519182319999999</v>
      </c>
      <c r="F66" s="156">
        <f t="shared" si="176"/>
        <v>2724.1</v>
      </c>
      <c r="G66" s="157">
        <f>RCF!C$5</f>
        <v>15.792</v>
      </c>
      <c r="H66" s="156">
        <f t="shared" si="177"/>
        <v>2724.12</v>
      </c>
      <c r="I66" s="157">
        <f t="shared" si="178"/>
        <v>15.792</v>
      </c>
      <c r="J66" s="158">
        <f t="shared" si="179"/>
        <v>2996.5320000000002</v>
      </c>
      <c r="K66" s="158">
        <f t="shared" si="179"/>
        <v>3732.0444000000002</v>
      </c>
      <c r="L66" s="158">
        <f t="shared" si="179"/>
        <v>4004.4563999999996</v>
      </c>
      <c r="M66" s="158">
        <f t="shared" si="179"/>
        <v>4413.0744000000004</v>
      </c>
      <c r="N66" s="158">
        <f t="shared" si="179"/>
        <v>5448.24</v>
      </c>
      <c r="O66" s="158">
        <f t="shared" si="179"/>
        <v>5856.8579999999993</v>
      </c>
      <c r="P66" s="158">
        <f t="shared" si="179"/>
        <v>8172.36</v>
      </c>
      <c r="Q66" s="156">
        <f t="shared" si="180"/>
        <v>2672</v>
      </c>
      <c r="R66" s="157">
        <f>RCF!C$7</f>
        <v>15.49</v>
      </c>
      <c r="S66" s="158">
        <f t="shared" si="181"/>
        <v>3473.6</v>
      </c>
      <c r="T66" s="158">
        <f t="shared" si="181"/>
        <v>4008</v>
      </c>
      <c r="U66" s="156">
        <f t="shared" si="182"/>
        <v>2639.9</v>
      </c>
      <c r="V66" s="157">
        <f>RCF!C$9</f>
        <v>15.304</v>
      </c>
      <c r="W66" s="156">
        <f t="shared" si="183"/>
        <v>2639.9</v>
      </c>
      <c r="X66" s="157">
        <f t="shared" si="184"/>
        <v>15.304</v>
      </c>
      <c r="Y66" s="158">
        <f t="shared" si="185"/>
        <v>2903.8</v>
      </c>
      <c r="Z66" s="158">
        <f t="shared" si="186"/>
        <v>3616.7</v>
      </c>
      <c r="AA66" s="158">
        <f t="shared" si="186"/>
        <v>4276.7</v>
      </c>
      <c r="AB66" s="158">
        <f t="shared" si="186"/>
        <v>3880.7</v>
      </c>
      <c r="AC66" s="158">
        <f t="shared" si="186"/>
        <v>5728.7</v>
      </c>
      <c r="AD66" s="158">
        <f t="shared" si="186"/>
        <v>7919.8</v>
      </c>
      <c r="AE66" s="156">
        <f t="shared" si="187"/>
        <v>2677.2</v>
      </c>
      <c r="AF66" s="157">
        <f>RCF!C$13</f>
        <v>15.52</v>
      </c>
      <c r="AG66" s="158">
        <f t="shared" si="188"/>
        <v>4417.3999999999996</v>
      </c>
      <c r="AH66" s="158">
        <f t="shared" si="188"/>
        <v>5622.1</v>
      </c>
      <c r="AI66" s="158">
        <f t="shared" si="188"/>
        <v>8031.6</v>
      </c>
      <c r="AJ66" s="156">
        <f t="shared" si="189"/>
        <v>2707.6</v>
      </c>
      <c r="AK66" s="157">
        <f>RCF!C$25</f>
        <v>15.696666666666665</v>
      </c>
      <c r="AL66" s="156">
        <f t="shared" si="190"/>
        <v>3570.7</v>
      </c>
      <c r="AM66" s="157">
        <f>RCF!C$29</f>
        <v>20.7</v>
      </c>
      <c r="AN66" s="156">
        <f t="shared" si="191"/>
        <v>2858.3</v>
      </c>
      <c r="AO66" s="157">
        <f>RCF!C$33</f>
        <v>16.57</v>
      </c>
      <c r="AP66" s="158">
        <f t="shared" si="192"/>
        <v>4287.3999999999996</v>
      </c>
      <c r="AQ66" s="156">
        <f t="shared" si="193"/>
        <v>2839.3</v>
      </c>
      <c r="AR66" s="157">
        <f>RCF!C$35</f>
        <v>16.46</v>
      </c>
      <c r="AS66" s="158">
        <f t="shared" si="194"/>
        <v>3691</v>
      </c>
      <c r="AT66" s="158">
        <f t="shared" si="194"/>
        <v>4116.8999999999996</v>
      </c>
      <c r="AU66" s="156">
        <f t="shared" si="195"/>
        <v>2802.6</v>
      </c>
      <c r="AV66" s="157">
        <f>RCF!C$37</f>
        <v>16.247</v>
      </c>
      <c r="AW66" s="251">
        <v>1435.9</v>
      </c>
      <c r="AX66" s="157"/>
      <c r="AY66" s="156">
        <f t="shared" si="196"/>
        <v>2853.1</v>
      </c>
      <c r="AZ66" s="157">
        <f>RCF!C$39</f>
        <v>16.54</v>
      </c>
      <c r="BA66" s="156">
        <f t="shared" si="197"/>
        <v>2721.8</v>
      </c>
      <c r="BB66" s="157">
        <f>RCF!C$41</f>
        <v>15.779</v>
      </c>
    </row>
    <row r="67" spans="1:54" ht="25.5" x14ac:dyDescent="0.2">
      <c r="A67" s="168">
        <v>6020</v>
      </c>
      <c r="B67" s="170" t="s">
        <v>185</v>
      </c>
      <c r="C67" s="169">
        <v>16.399999999999999</v>
      </c>
      <c r="D67" s="156">
        <f t="shared" si="175"/>
        <v>976.1</v>
      </c>
      <c r="E67" s="157">
        <f>RCF!$C$43</f>
        <v>59.519182319999999</v>
      </c>
      <c r="F67" s="156">
        <f t="shared" si="176"/>
        <v>258.89999999999998</v>
      </c>
      <c r="G67" s="157">
        <f>RCF!C$5</f>
        <v>15.792</v>
      </c>
      <c r="H67" s="156">
        <f t="shared" si="177"/>
        <v>258.98879999999997</v>
      </c>
      <c r="I67" s="157">
        <f t="shared" si="178"/>
        <v>15.792</v>
      </c>
      <c r="J67" s="158">
        <f t="shared" si="179"/>
        <v>284.88767999999999</v>
      </c>
      <c r="K67" s="158">
        <f t="shared" si="179"/>
        <v>354.81465600000001</v>
      </c>
      <c r="L67" s="158">
        <f t="shared" si="179"/>
        <v>380.71353599999992</v>
      </c>
      <c r="M67" s="158">
        <f t="shared" si="179"/>
        <v>419.56185599999998</v>
      </c>
      <c r="N67" s="158">
        <f t="shared" si="179"/>
        <v>517.97759999999994</v>
      </c>
      <c r="O67" s="158">
        <f t="shared" si="179"/>
        <v>556.82591999999988</v>
      </c>
      <c r="P67" s="158">
        <f t="shared" si="179"/>
        <v>776.96639999999991</v>
      </c>
      <c r="Q67" s="156">
        <f t="shared" si="180"/>
        <v>254</v>
      </c>
      <c r="R67" s="157">
        <f>RCF!C$7</f>
        <v>15.49</v>
      </c>
      <c r="S67" s="158">
        <f t="shared" si="181"/>
        <v>330.2</v>
      </c>
      <c r="T67" s="158">
        <f t="shared" si="181"/>
        <v>381</v>
      </c>
      <c r="U67" s="156">
        <f t="shared" si="182"/>
        <v>250.9</v>
      </c>
      <c r="V67" s="157">
        <f>RCF!C$9</f>
        <v>15.304</v>
      </c>
      <c r="W67" s="156">
        <f t="shared" si="183"/>
        <v>250.9</v>
      </c>
      <c r="X67" s="157">
        <f t="shared" si="184"/>
        <v>15.304</v>
      </c>
      <c r="Y67" s="158">
        <f t="shared" si="185"/>
        <v>275.89999999999998</v>
      </c>
      <c r="Z67" s="158">
        <f t="shared" si="186"/>
        <v>343.9</v>
      </c>
      <c r="AA67" s="158">
        <f t="shared" si="186"/>
        <v>406.6</v>
      </c>
      <c r="AB67" s="158">
        <f t="shared" si="186"/>
        <v>368.9</v>
      </c>
      <c r="AC67" s="158">
        <f t="shared" si="186"/>
        <v>544.6</v>
      </c>
      <c r="AD67" s="158">
        <f t="shared" si="186"/>
        <v>753</v>
      </c>
      <c r="AE67" s="156">
        <f t="shared" si="187"/>
        <v>254.5</v>
      </c>
      <c r="AF67" s="157">
        <f>RCF!C$13</f>
        <v>15.52</v>
      </c>
      <c r="AG67" s="158">
        <f t="shared" si="188"/>
        <v>419.9</v>
      </c>
      <c r="AH67" s="158">
        <f t="shared" si="188"/>
        <v>534.5</v>
      </c>
      <c r="AI67" s="158">
        <f t="shared" si="188"/>
        <v>763.5</v>
      </c>
      <c r="AJ67" s="156">
        <f t="shared" si="189"/>
        <v>257.39999999999998</v>
      </c>
      <c r="AK67" s="157">
        <f>RCF!C$25</f>
        <v>15.696666666666665</v>
      </c>
      <c r="AL67" s="156">
        <f t="shared" si="190"/>
        <v>339.4</v>
      </c>
      <c r="AM67" s="157">
        <f>RCF!C$29</f>
        <v>20.7</v>
      </c>
      <c r="AN67" s="156">
        <f t="shared" si="191"/>
        <v>271.7</v>
      </c>
      <c r="AO67" s="157">
        <f>RCF!C$33</f>
        <v>16.57</v>
      </c>
      <c r="AP67" s="158">
        <f t="shared" si="192"/>
        <v>407.5</v>
      </c>
      <c r="AQ67" s="156">
        <f t="shared" si="193"/>
        <v>269.89999999999998</v>
      </c>
      <c r="AR67" s="157">
        <f>RCF!C$35</f>
        <v>16.46</v>
      </c>
      <c r="AS67" s="158">
        <f t="shared" si="194"/>
        <v>350.8</v>
      </c>
      <c r="AT67" s="158">
        <f t="shared" si="194"/>
        <v>391.3</v>
      </c>
      <c r="AU67" s="156">
        <f t="shared" si="195"/>
        <v>266.39999999999998</v>
      </c>
      <c r="AV67" s="157">
        <f>RCF!C$37</f>
        <v>16.247</v>
      </c>
      <c r="AW67" s="251">
        <v>265.5</v>
      </c>
      <c r="AX67" s="157"/>
      <c r="AY67" s="156">
        <f t="shared" si="196"/>
        <v>271.2</v>
      </c>
      <c r="AZ67" s="157">
        <f>RCF!C$39</f>
        <v>16.54</v>
      </c>
      <c r="BA67" s="156">
        <f t="shared" si="197"/>
        <v>258.7</v>
      </c>
      <c r="BB67" s="157">
        <f>RCF!C$41</f>
        <v>15.779</v>
      </c>
    </row>
    <row r="68" spans="1:54" ht="25.5" x14ac:dyDescent="0.2">
      <c r="A68" s="168">
        <v>6021</v>
      </c>
      <c r="B68" s="170" t="s">
        <v>186</v>
      </c>
      <c r="C68" s="169">
        <v>26.3</v>
      </c>
      <c r="D68" s="156">
        <f t="shared" si="175"/>
        <v>1565.4</v>
      </c>
      <c r="E68" s="157">
        <f>RCF!$C$43</f>
        <v>59.519182319999999</v>
      </c>
      <c r="F68" s="156">
        <f t="shared" si="176"/>
        <v>415.3</v>
      </c>
      <c r="G68" s="157">
        <f>RCF!C$5</f>
        <v>15.792</v>
      </c>
      <c r="H68" s="156">
        <f t="shared" si="177"/>
        <v>415.32960000000003</v>
      </c>
      <c r="I68" s="157">
        <f t="shared" si="178"/>
        <v>15.792</v>
      </c>
      <c r="J68" s="158">
        <f t="shared" si="179"/>
        <v>456.86256000000009</v>
      </c>
      <c r="K68" s="158">
        <f t="shared" si="179"/>
        <v>569.00155200000006</v>
      </c>
      <c r="L68" s="158">
        <f t="shared" si="179"/>
        <v>610.53451200000006</v>
      </c>
      <c r="M68" s="158">
        <f t="shared" si="179"/>
        <v>672.83395200000007</v>
      </c>
      <c r="N68" s="158">
        <f t="shared" si="179"/>
        <v>830.65920000000006</v>
      </c>
      <c r="O68" s="158">
        <f t="shared" si="179"/>
        <v>892.95864000000006</v>
      </c>
      <c r="P68" s="158">
        <f t="shared" si="179"/>
        <v>1245.9888000000001</v>
      </c>
      <c r="Q68" s="156">
        <f t="shared" si="180"/>
        <v>407.3</v>
      </c>
      <c r="R68" s="157">
        <f>RCF!C$7</f>
        <v>15.49</v>
      </c>
      <c r="S68" s="158">
        <f t="shared" si="181"/>
        <v>529.4</v>
      </c>
      <c r="T68" s="158">
        <f t="shared" si="181"/>
        <v>610.9</v>
      </c>
      <c r="U68" s="156">
        <f t="shared" si="182"/>
        <v>402.4</v>
      </c>
      <c r="V68" s="157">
        <f>RCF!C$9</f>
        <v>15.304</v>
      </c>
      <c r="W68" s="156">
        <f t="shared" si="183"/>
        <v>402.4</v>
      </c>
      <c r="X68" s="157">
        <f t="shared" si="184"/>
        <v>15.304</v>
      </c>
      <c r="Y68" s="158">
        <f t="shared" si="185"/>
        <v>442.6</v>
      </c>
      <c r="Z68" s="158">
        <f t="shared" si="186"/>
        <v>551.4</v>
      </c>
      <c r="AA68" s="158">
        <f t="shared" si="186"/>
        <v>652</v>
      </c>
      <c r="AB68" s="158">
        <f t="shared" si="186"/>
        <v>591.70000000000005</v>
      </c>
      <c r="AC68" s="158">
        <f t="shared" si="186"/>
        <v>873.4</v>
      </c>
      <c r="AD68" s="158">
        <f t="shared" si="186"/>
        <v>1207.5</v>
      </c>
      <c r="AE68" s="156">
        <f t="shared" si="187"/>
        <v>408.1</v>
      </c>
      <c r="AF68" s="157">
        <f>RCF!C$13</f>
        <v>15.52</v>
      </c>
      <c r="AG68" s="158">
        <f t="shared" si="188"/>
        <v>673.4</v>
      </c>
      <c r="AH68" s="158">
        <f t="shared" si="188"/>
        <v>857</v>
      </c>
      <c r="AI68" s="158">
        <f t="shared" si="188"/>
        <v>1224.3</v>
      </c>
      <c r="AJ68" s="156">
        <f t="shared" si="189"/>
        <v>412.8</v>
      </c>
      <c r="AK68" s="157">
        <f>RCF!C$25</f>
        <v>15.696666666666665</v>
      </c>
      <c r="AL68" s="156">
        <f t="shared" si="190"/>
        <v>544.4</v>
      </c>
      <c r="AM68" s="157">
        <f>RCF!C$29</f>
        <v>20.7</v>
      </c>
      <c r="AN68" s="156">
        <f t="shared" si="191"/>
        <v>435.7</v>
      </c>
      <c r="AO68" s="157">
        <f>RCF!C$33</f>
        <v>16.57</v>
      </c>
      <c r="AP68" s="158">
        <f t="shared" si="192"/>
        <v>653.5</v>
      </c>
      <c r="AQ68" s="156">
        <f t="shared" si="193"/>
        <v>432.8</v>
      </c>
      <c r="AR68" s="157">
        <f>RCF!C$35</f>
        <v>16.46</v>
      </c>
      <c r="AS68" s="158">
        <f t="shared" si="194"/>
        <v>562.6</v>
      </c>
      <c r="AT68" s="158">
        <f t="shared" si="194"/>
        <v>627.5</v>
      </c>
      <c r="AU68" s="156">
        <f t="shared" si="195"/>
        <v>427.2</v>
      </c>
      <c r="AV68" s="157">
        <f>RCF!C$37</f>
        <v>16.247</v>
      </c>
      <c r="AW68" s="251">
        <v>425.7</v>
      </c>
      <c r="AX68" s="157"/>
      <c r="AY68" s="156">
        <f t="shared" si="196"/>
        <v>435</v>
      </c>
      <c r="AZ68" s="157">
        <f>RCF!C$39</f>
        <v>16.54</v>
      </c>
      <c r="BA68" s="156">
        <f t="shared" si="197"/>
        <v>414.9</v>
      </c>
      <c r="BB68" s="157">
        <f>RCF!C$41</f>
        <v>15.779</v>
      </c>
    </row>
    <row r="69" spans="1:54" ht="25.5" x14ac:dyDescent="0.2">
      <c r="A69" s="168">
        <v>6022</v>
      </c>
      <c r="B69" s="170" t="s">
        <v>187</v>
      </c>
      <c r="C69" s="169">
        <v>122.2</v>
      </c>
      <c r="D69" s="156">
        <f t="shared" si="175"/>
        <v>7273.2</v>
      </c>
      <c r="E69" s="157">
        <f>RCF!$C$43</f>
        <v>59.519182319999999</v>
      </c>
      <c r="F69" s="156">
        <f t="shared" si="176"/>
        <v>1929.7</v>
      </c>
      <c r="G69" s="157">
        <f>RCF!C$5</f>
        <v>15.792</v>
      </c>
      <c r="H69" s="156">
        <f t="shared" si="177"/>
        <v>1929.7824000000001</v>
      </c>
      <c r="I69" s="157">
        <f t="shared" si="178"/>
        <v>15.792</v>
      </c>
      <c r="J69" s="158">
        <f t="shared" si="179"/>
        <v>2122.7606400000004</v>
      </c>
      <c r="K69" s="158">
        <f t="shared" si="179"/>
        <v>2643.8018880000004</v>
      </c>
      <c r="L69" s="158">
        <f t="shared" si="179"/>
        <v>2836.7801279999999</v>
      </c>
      <c r="M69" s="158">
        <f t="shared" si="179"/>
        <v>3126.2474880000004</v>
      </c>
      <c r="N69" s="158">
        <f t="shared" si="179"/>
        <v>3859.5648000000001</v>
      </c>
      <c r="O69" s="158">
        <f t="shared" si="179"/>
        <v>4149.0321599999997</v>
      </c>
      <c r="P69" s="158">
        <f t="shared" si="179"/>
        <v>5789.3472000000002</v>
      </c>
      <c r="Q69" s="156">
        <f t="shared" si="180"/>
        <v>1892.8</v>
      </c>
      <c r="R69" s="157">
        <f>RCF!C$7</f>
        <v>15.49</v>
      </c>
      <c r="S69" s="158">
        <f t="shared" si="181"/>
        <v>2460.6</v>
      </c>
      <c r="T69" s="158">
        <f t="shared" si="181"/>
        <v>2839.2</v>
      </c>
      <c r="U69" s="156">
        <f t="shared" si="182"/>
        <v>1870.1</v>
      </c>
      <c r="V69" s="157">
        <f>RCF!C$9</f>
        <v>15.304</v>
      </c>
      <c r="W69" s="156">
        <f t="shared" si="183"/>
        <v>1870.1</v>
      </c>
      <c r="X69" s="157">
        <f t="shared" si="184"/>
        <v>15.304</v>
      </c>
      <c r="Y69" s="158">
        <f t="shared" si="185"/>
        <v>2057.1</v>
      </c>
      <c r="Z69" s="158">
        <f t="shared" si="186"/>
        <v>2562.1</v>
      </c>
      <c r="AA69" s="158">
        <f t="shared" si="186"/>
        <v>3029.6</v>
      </c>
      <c r="AB69" s="158">
        <f t="shared" si="186"/>
        <v>2749.1</v>
      </c>
      <c r="AC69" s="158">
        <f t="shared" si="186"/>
        <v>4058.2</v>
      </c>
      <c r="AD69" s="158">
        <f t="shared" si="186"/>
        <v>5610.4</v>
      </c>
      <c r="AE69" s="156">
        <f t="shared" si="187"/>
        <v>1896.5</v>
      </c>
      <c r="AF69" s="157">
        <f>RCF!C$13</f>
        <v>15.52</v>
      </c>
      <c r="AG69" s="158">
        <f t="shared" si="188"/>
        <v>3129.2</v>
      </c>
      <c r="AH69" s="158">
        <f t="shared" si="188"/>
        <v>3982.7</v>
      </c>
      <c r="AI69" s="158">
        <f t="shared" si="188"/>
        <v>5689.5</v>
      </c>
      <c r="AJ69" s="156">
        <f t="shared" si="189"/>
        <v>1918.1</v>
      </c>
      <c r="AK69" s="157">
        <f>RCF!C$25</f>
        <v>15.696666666666665</v>
      </c>
      <c r="AL69" s="156">
        <f t="shared" si="190"/>
        <v>2529.5</v>
      </c>
      <c r="AM69" s="157">
        <f>RCF!C$29</f>
        <v>20.7</v>
      </c>
      <c r="AN69" s="156">
        <f t="shared" si="191"/>
        <v>2024.8</v>
      </c>
      <c r="AO69" s="157">
        <f>RCF!C$33</f>
        <v>16.57</v>
      </c>
      <c r="AP69" s="158">
        <f t="shared" si="192"/>
        <v>3037.2</v>
      </c>
      <c r="AQ69" s="156">
        <f t="shared" si="193"/>
        <v>2011.4</v>
      </c>
      <c r="AR69" s="157">
        <f>RCF!C$35</f>
        <v>16.46</v>
      </c>
      <c r="AS69" s="158">
        <f t="shared" si="194"/>
        <v>2614.8000000000002</v>
      </c>
      <c r="AT69" s="158">
        <f t="shared" si="194"/>
        <v>2916.5</v>
      </c>
      <c r="AU69" s="156">
        <f t="shared" si="195"/>
        <v>1985.3</v>
      </c>
      <c r="AV69" s="157">
        <f>RCF!C$37</f>
        <v>16.247</v>
      </c>
      <c r="AW69" s="251">
        <v>0</v>
      </c>
      <c r="AX69" s="157"/>
      <c r="AY69" s="156">
        <f t="shared" si="196"/>
        <v>2021.1</v>
      </c>
      <c r="AZ69" s="157">
        <f>RCF!C$39</f>
        <v>16.54</v>
      </c>
      <c r="BA69" s="156">
        <f t="shared" si="197"/>
        <v>1928.1</v>
      </c>
      <c r="BB69" s="157">
        <f>RCF!C$41</f>
        <v>15.779</v>
      </c>
    </row>
    <row r="70" spans="1:54" ht="25.5" x14ac:dyDescent="0.2">
      <c r="A70" s="168">
        <v>6023</v>
      </c>
      <c r="B70" s="170" t="s">
        <v>192</v>
      </c>
      <c r="C70" s="169">
        <v>16.5</v>
      </c>
      <c r="D70" s="156">
        <f t="shared" si="175"/>
        <v>982.1</v>
      </c>
      <c r="E70" s="157">
        <f>RCF!$C$43</f>
        <v>59.519182319999999</v>
      </c>
      <c r="F70" s="156">
        <f t="shared" si="176"/>
        <v>260.5</v>
      </c>
      <c r="G70" s="157">
        <f>RCF!C$5</f>
        <v>15.792</v>
      </c>
      <c r="H70" s="156">
        <f t="shared" si="177"/>
        <v>260.56799999999998</v>
      </c>
      <c r="I70" s="157">
        <f t="shared" si="178"/>
        <v>15.792</v>
      </c>
      <c r="J70" s="158">
        <f t="shared" si="179"/>
        <v>286.62479999999999</v>
      </c>
      <c r="K70" s="158">
        <f t="shared" si="179"/>
        <v>356.97816</v>
      </c>
      <c r="L70" s="158">
        <f t="shared" si="179"/>
        <v>383.03495999999996</v>
      </c>
      <c r="M70" s="158">
        <f t="shared" si="179"/>
        <v>422.12016</v>
      </c>
      <c r="N70" s="158">
        <f t="shared" si="179"/>
        <v>521.13599999999997</v>
      </c>
      <c r="O70" s="158">
        <f t="shared" si="179"/>
        <v>560.22119999999995</v>
      </c>
      <c r="P70" s="158">
        <f t="shared" si="179"/>
        <v>781.70399999999995</v>
      </c>
      <c r="Q70" s="156">
        <f t="shared" si="180"/>
        <v>255.5</v>
      </c>
      <c r="R70" s="157">
        <f>RCF!C$7</f>
        <v>15.49</v>
      </c>
      <c r="S70" s="158">
        <f t="shared" si="181"/>
        <v>332.1</v>
      </c>
      <c r="T70" s="158">
        <f t="shared" si="181"/>
        <v>383.2</v>
      </c>
      <c r="U70" s="156">
        <f t="shared" si="182"/>
        <v>252.5</v>
      </c>
      <c r="V70" s="157">
        <f>RCF!C$9</f>
        <v>15.304</v>
      </c>
      <c r="W70" s="156">
        <f t="shared" si="183"/>
        <v>252.5</v>
      </c>
      <c r="X70" s="157">
        <f t="shared" si="184"/>
        <v>15.304</v>
      </c>
      <c r="Y70" s="158">
        <f t="shared" si="185"/>
        <v>277.7</v>
      </c>
      <c r="Z70" s="158">
        <f t="shared" si="186"/>
        <v>345.9</v>
      </c>
      <c r="AA70" s="158">
        <f t="shared" si="186"/>
        <v>409.1</v>
      </c>
      <c r="AB70" s="158">
        <f t="shared" si="186"/>
        <v>371.2</v>
      </c>
      <c r="AC70" s="158">
        <f t="shared" si="186"/>
        <v>548</v>
      </c>
      <c r="AD70" s="158">
        <f t="shared" si="186"/>
        <v>757.5</v>
      </c>
      <c r="AE70" s="156">
        <f t="shared" si="187"/>
        <v>256</v>
      </c>
      <c r="AF70" s="157">
        <f>RCF!C$13</f>
        <v>15.52</v>
      </c>
      <c r="AG70" s="158">
        <f t="shared" si="188"/>
        <v>422.4</v>
      </c>
      <c r="AH70" s="158">
        <f t="shared" si="188"/>
        <v>537.6</v>
      </c>
      <c r="AI70" s="158">
        <f t="shared" si="188"/>
        <v>768</v>
      </c>
      <c r="AJ70" s="156">
        <f t="shared" si="189"/>
        <v>258.89999999999998</v>
      </c>
      <c r="AK70" s="157">
        <f>RCF!C$25</f>
        <v>15.696666666666665</v>
      </c>
      <c r="AL70" s="156">
        <f t="shared" si="190"/>
        <v>341.5</v>
      </c>
      <c r="AM70" s="157">
        <f>RCF!C$29</f>
        <v>20.7</v>
      </c>
      <c r="AN70" s="156">
        <f t="shared" si="191"/>
        <v>273.39999999999998</v>
      </c>
      <c r="AO70" s="157">
        <f>RCF!C$33</f>
        <v>16.57</v>
      </c>
      <c r="AP70" s="158">
        <f t="shared" si="192"/>
        <v>410.1</v>
      </c>
      <c r="AQ70" s="156">
        <f t="shared" si="193"/>
        <v>271.5</v>
      </c>
      <c r="AR70" s="157">
        <f>RCF!C$35</f>
        <v>16.46</v>
      </c>
      <c r="AS70" s="158">
        <f t="shared" si="194"/>
        <v>352.9</v>
      </c>
      <c r="AT70" s="158">
        <f t="shared" si="194"/>
        <v>393.6</v>
      </c>
      <c r="AU70" s="156">
        <f t="shared" si="195"/>
        <v>268</v>
      </c>
      <c r="AV70" s="157">
        <f>RCF!C$37</f>
        <v>16.247</v>
      </c>
      <c r="AW70" s="251">
        <v>267.10000000000002</v>
      </c>
      <c r="AX70" s="157"/>
      <c r="AY70" s="156">
        <f t="shared" si="196"/>
        <v>272.89999999999998</v>
      </c>
      <c r="AZ70" s="157">
        <f>RCF!C$39</f>
        <v>16.54</v>
      </c>
      <c r="BA70" s="156">
        <f t="shared" si="197"/>
        <v>260.3</v>
      </c>
      <c r="BB70" s="157">
        <f>RCF!C$41</f>
        <v>15.779</v>
      </c>
    </row>
    <row r="71" spans="1:54" ht="38.25" x14ac:dyDescent="0.2">
      <c r="A71" s="168" t="s">
        <v>193</v>
      </c>
      <c r="B71" s="170" t="s">
        <v>194</v>
      </c>
      <c r="C71" s="169">
        <v>222.3</v>
      </c>
      <c r="D71" s="156">
        <f t="shared" ref="D71" si="198">ROUND(E71*C71,1)</f>
        <v>13231.1</v>
      </c>
      <c r="E71" s="157">
        <f>RCF!$C$43</f>
        <v>59.519182319999999</v>
      </c>
      <c r="F71" s="156">
        <f t="shared" ref="F71" si="199">ROUNDDOWN($C71*G71,1)</f>
        <v>3510.5</v>
      </c>
      <c r="G71" s="157">
        <f>RCF!C$5</f>
        <v>15.792</v>
      </c>
      <c r="H71" s="156">
        <f t="shared" ref="H71" si="200">I71*C71</f>
        <v>3510.5616</v>
      </c>
      <c r="I71" s="157">
        <f t="shared" ref="I71" si="201">G71</f>
        <v>15.792</v>
      </c>
      <c r="J71" s="158">
        <f t="shared" si="179"/>
        <v>3861.6177600000001</v>
      </c>
      <c r="K71" s="158">
        <f t="shared" si="179"/>
        <v>4809.469392</v>
      </c>
      <c r="L71" s="158">
        <f t="shared" si="179"/>
        <v>5160.5255520000001</v>
      </c>
      <c r="M71" s="158">
        <f t="shared" si="179"/>
        <v>5687.1097920000002</v>
      </c>
      <c r="N71" s="158">
        <f t="shared" si="179"/>
        <v>7021.1232</v>
      </c>
      <c r="O71" s="158">
        <f t="shared" si="179"/>
        <v>7547.7074400000001</v>
      </c>
      <c r="P71" s="158">
        <f t="shared" si="179"/>
        <v>10531.684799999999</v>
      </c>
      <c r="Q71" s="156">
        <f t="shared" ref="Q71" si="202">ROUNDDOWN($C71*R71,1)</f>
        <v>3443.4</v>
      </c>
      <c r="R71" s="157">
        <f>RCF!C$7</f>
        <v>15.49</v>
      </c>
      <c r="S71" s="158">
        <f t="shared" si="181"/>
        <v>4476.3999999999996</v>
      </c>
      <c r="T71" s="158">
        <f t="shared" si="181"/>
        <v>5165.1000000000004</v>
      </c>
      <c r="U71" s="156">
        <f t="shared" ref="U71" si="203">ROUNDDOWN($C71*V71,1)</f>
        <v>3402</v>
      </c>
      <c r="V71" s="157">
        <f>RCF!C$9</f>
        <v>15.304</v>
      </c>
      <c r="W71" s="156">
        <f t="shared" ref="W71" si="204">ROUNDDOWN($C71*X71,1)</f>
        <v>3402</v>
      </c>
      <c r="X71" s="157">
        <f t="shared" ref="X71" si="205">V71</f>
        <v>15.304</v>
      </c>
      <c r="Y71" s="158">
        <f t="shared" si="185"/>
        <v>3742.2</v>
      </c>
      <c r="Z71" s="158">
        <f t="shared" si="186"/>
        <v>4660.8</v>
      </c>
      <c r="AA71" s="158">
        <f t="shared" si="186"/>
        <v>5511.4</v>
      </c>
      <c r="AB71" s="158">
        <f t="shared" si="186"/>
        <v>5001.1000000000004</v>
      </c>
      <c r="AC71" s="158">
        <f t="shared" si="186"/>
        <v>7382.5</v>
      </c>
      <c r="AD71" s="158">
        <f t="shared" si="186"/>
        <v>10206.200000000001</v>
      </c>
      <c r="AE71" s="156">
        <f t="shared" ref="AE71" si="206">ROUNDDOWN($C71*AF71,1)</f>
        <v>3450</v>
      </c>
      <c r="AF71" s="157">
        <f>RCF!C$13</f>
        <v>15.52</v>
      </c>
      <c r="AG71" s="158">
        <f t="shared" si="188"/>
        <v>5692.5</v>
      </c>
      <c r="AH71" s="158">
        <f t="shared" si="188"/>
        <v>7245</v>
      </c>
      <c r="AI71" s="158">
        <f t="shared" si="188"/>
        <v>10350</v>
      </c>
      <c r="AJ71" s="156">
        <f t="shared" ref="AJ71" si="207">ROUNDDOWN($C71*AK71,1)</f>
        <v>3489.3</v>
      </c>
      <c r="AK71" s="157">
        <f>RCF!C$25</f>
        <v>15.696666666666665</v>
      </c>
      <c r="AL71" s="156">
        <f t="shared" ref="AL71" si="208">ROUNDDOWN($C71*AM71,1)</f>
        <v>4601.6000000000004</v>
      </c>
      <c r="AM71" s="157">
        <f>RCF!C$29</f>
        <v>20.7</v>
      </c>
      <c r="AN71" s="156">
        <f t="shared" ref="AN71" si="209">ROUNDDOWN($C71*AO71,1)</f>
        <v>3683.5</v>
      </c>
      <c r="AO71" s="157">
        <f>RCF!C$33</f>
        <v>16.57</v>
      </c>
      <c r="AP71" s="158">
        <f t="shared" si="192"/>
        <v>5525.2</v>
      </c>
      <c r="AQ71" s="156">
        <f t="shared" ref="AQ71" si="210">ROUNDDOWN($C71*AR71,1)</f>
        <v>3659</v>
      </c>
      <c r="AR71" s="157">
        <f>RCF!C$35</f>
        <v>16.46</v>
      </c>
      <c r="AS71" s="158">
        <f t="shared" si="194"/>
        <v>4756.7</v>
      </c>
      <c r="AT71" s="158">
        <f t="shared" si="194"/>
        <v>5305.5</v>
      </c>
      <c r="AU71" s="156">
        <f t="shared" ref="AU71" si="211">ROUNDDOWN($C71*AV71,1)</f>
        <v>3611.7</v>
      </c>
      <c r="AV71" s="157">
        <f>RCF!C$37</f>
        <v>16.247</v>
      </c>
      <c r="AW71" s="251">
        <v>3598.6</v>
      </c>
      <c r="AX71" s="157"/>
      <c r="AY71" s="156">
        <f t="shared" ref="AY71" si="212">ROUNDDOWN($C71*AZ71,1)</f>
        <v>3676.8</v>
      </c>
      <c r="AZ71" s="157">
        <f>RCF!C$39</f>
        <v>16.54</v>
      </c>
      <c r="BA71" s="156">
        <f t="shared" ref="BA71" si="213">ROUNDDOWN($C71*BB71,1)</f>
        <v>3507.6</v>
      </c>
      <c r="BB71" s="157">
        <f>RCF!C$41</f>
        <v>15.779</v>
      </c>
    </row>
    <row r="72" spans="1:54" ht="51" x14ac:dyDescent="0.2">
      <c r="A72" s="168">
        <v>6018</v>
      </c>
      <c r="B72" s="170" t="s">
        <v>188</v>
      </c>
      <c r="C72" s="169">
        <v>423.2</v>
      </c>
      <c r="D72" s="156">
        <f t="shared" si="175"/>
        <v>25188.5</v>
      </c>
      <c r="E72" s="157">
        <f>RCF!$C$43</f>
        <v>59.519182319999999</v>
      </c>
      <c r="F72" s="156">
        <f t="shared" si="176"/>
        <v>6683.1</v>
      </c>
      <c r="G72" s="157">
        <f>RCF!C$5</f>
        <v>15.792</v>
      </c>
      <c r="H72" s="156">
        <f t="shared" si="177"/>
        <v>6683.1743999999999</v>
      </c>
      <c r="I72" s="157">
        <f t="shared" si="178"/>
        <v>15.792</v>
      </c>
      <c r="J72" s="158">
        <f t="shared" si="179"/>
        <v>7351.4918400000006</v>
      </c>
      <c r="K72" s="158">
        <f t="shared" si="179"/>
        <v>9155.9489279999998</v>
      </c>
      <c r="L72" s="158">
        <f t="shared" si="179"/>
        <v>9824.2663680000005</v>
      </c>
      <c r="M72" s="158">
        <f t="shared" si="179"/>
        <v>10826.742528000001</v>
      </c>
      <c r="N72" s="158">
        <f t="shared" si="179"/>
        <v>13366.3488</v>
      </c>
      <c r="O72" s="158">
        <f t="shared" si="179"/>
        <v>14368.82496</v>
      </c>
      <c r="P72" s="158">
        <f t="shared" si="179"/>
        <v>20049.5232</v>
      </c>
      <c r="Q72" s="156">
        <f t="shared" si="180"/>
        <v>6555.3</v>
      </c>
      <c r="R72" s="157">
        <f>RCF!C$7</f>
        <v>15.49</v>
      </c>
      <c r="S72" s="158">
        <f t="shared" si="181"/>
        <v>8521.7999999999993</v>
      </c>
      <c r="T72" s="158">
        <f t="shared" si="181"/>
        <v>9832.9</v>
      </c>
      <c r="U72" s="156">
        <f t="shared" si="182"/>
        <v>6476.6</v>
      </c>
      <c r="V72" s="157">
        <f>RCF!C$9</f>
        <v>15.304</v>
      </c>
      <c r="W72" s="156">
        <f t="shared" si="183"/>
        <v>6476.6</v>
      </c>
      <c r="X72" s="157">
        <f t="shared" si="184"/>
        <v>15.304</v>
      </c>
      <c r="Y72" s="158">
        <f t="shared" si="185"/>
        <v>7124.2</v>
      </c>
      <c r="Z72" s="158">
        <f t="shared" si="186"/>
        <v>8873</v>
      </c>
      <c r="AA72" s="158">
        <f t="shared" si="186"/>
        <v>10492.2</v>
      </c>
      <c r="AB72" s="158">
        <f t="shared" si="186"/>
        <v>9520.7000000000007</v>
      </c>
      <c r="AC72" s="158">
        <f t="shared" si="186"/>
        <v>14054.3</v>
      </c>
      <c r="AD72" s="158">
        <f t="shared" si="186"/>
        <v>19430</v>
      </c>
      <c r="AE72" s="156">
        <f t="shared" si="187"/>
        <v>6568</v>
      </c>
      <c r="AF72" s="157">
        <f>RCF!C$13</f>
        <v>15.52</v>
      </c>
      <c r="AG72" s="158">
        <f t="shared" si="188"/>
        <v>10837.2</v>
      </c>
      <c r="AH72" s="158">
        <f t="shared" si="188"/>
        <v>13792.8</v>
      </c>
      <c r="AI72" s="158">
        <f t="shared" si="188"/>
        <v>19704</v>
      </c>
      <c r="AJ72" s="156">
        <f t="shared" si="189"/>
        <v>6642.8</v>
      </c>
      <c r="AK72" s="157">
        <f>RCF!C$25</f>
        <v>15.696666666666665</v>
      </c>
      <c r="AL72" s="156">
        <f t="shared" si="190"/>
        <v>8760.2000000000007</v>
      </c>
      <c r="AM72" s="157">
        <f>RCF!C$29</f>
        <v>20.7</v>
      </c>
      <c r="AN72" s="156">
        <f t="shared" si="191"/>
        <v>7012.4</v>
      </c>
      <c r="AO72" s="157">
        <f>RCF!C$33</f>
        <v>16.57</v>
      </c>
      <c r="AP72" s="158">
        <f t="shared" si="192"/>
        <v>10518.6</v>
      </c>
      <c r="AQ72" s="156">
        <f t="shared" si="193"/>
        <v>6965.8</v>
      </c>
      <c r="AR72" s="157">
        <f>RCF!C$35</f>
        <v>16.46</v>
      </c>
      <c r="AS72" s="158">
        <f t="shared" si="194"/>
        <v>9055.5</v>
      </c>
      <c r="AT72" s="158">
        <f t="shared" si="194"/>
        <v>10100.4</v>
      </c>
      <c r="AU72" s="156">
        <f t="shared" si="195"/>
        <v>6875.7</v>
      </c>
      <c r="AV72" s="157">
        <f>RCF!C$37</f>
        <v>16.247</v>
      </c>
      <c r="AW72" s="251">
        <v>0</v>
      </c>
      <c r="AX72" s="157"/>
      <c r="AY72" s="156">
        <f t="shared" si="196"/>
        <v>6999.7</v>
      </c>
      <c r="AZ72" s="157">
        <f>RCF!C$39</f>
        <v>16.54</v>
      </c>
      <c r="BA72" s="156">
        <f t="shared" si="197"/>
        <v>6677.6</v>
      </c>
      <c r="BB72" s="157">
        <f>RCF!C$41</f>
        <v>15.779</v>
      </c>
    </row>
    <row r="73" spans="1:54" ht="38.25" x14ac:dyDescent="0.2">
      <c r="A73" s="168">
        <v>6024</v>
      </c>
      <c r="B73" s="170" t="s">
        <v>189</v>
      </c>
      <c r="C73" s="169">
        <v>84.5</v>
      </c>
      <c r="D73" s="156">
        <f t="shared" si="175"/>
        <v>5029.3999999999996</v>
      </c>
      <c r="E73" s="157">
        <f>RCF!$C$43</f>
        <v>59.519182319999999</v>
      </c>
      <c r="F73" s="156">
        <f t="shared" si="176"/>
        <v>1334.4</v>
      </c>
      <c r="G73" s="157">
        <f>RCF!C$5</f>
        <v>15.792</v>
      </c>
      <c r="H73" s="156">
        <f t="shared" si="177"/>
        <v>1334.424</v>
      </c>
      <c r="I73" s="157">
        <f t="shared" si="178"/>
        <v>15.792</v>
      </c>
      <c r="J73" s="158">
        <f t="shared" si="179"/>
        <v>1467.8664000000001</v>
      </c>
      <c r="K73" s="158">
        <f t="shared" si="179"/>
        <v>1828.1608800000001</v>
      </c>
      <c r="L73" s="158">
        <f t="shared" si="179"/>
        <v>1961.60328</v>
      </c>
      <c r="M73" s="158">
        <f t="shared" si="179"/>
        <v>2161.7668800000001</v>
      </c>
      <c r="N73" s="158">
        <f t="shared" si="179"/>
        <v>2668.848</v>
      </c>
      <c r="O73" s="158">
        <f t="shared" si="179"/>
        <v>2869.0115999999998</v>
      </c>
      <c r="P73" s="158">
        <f t="shared" si="179"/>
        <v>4003.2719999999999</v>
      </c>
      <c r="Q73" s="156">
        <f t="shared" si="180"/>
        <v>1308.9000000000001</v>
      </c>
      <c r="R73" s="157">
        <f>RCF!C$7</f>
        <v>15.49</v>
      </c>
      <c r="S73" s="158">
        <f t="shared" si="181"/>
        <v>1701.5</v>
      </c>
      <c r="T73" s="158">
        <f t="shared" si="181"/>
        <v>1963.3</v>
      </c>
      <c r="U73" s="156">
        <f t="shared" si="182"/>
        <v>1293.0999999999999</v>
      </c>
      <c r="V73" s="157">
        <f>RCF!C$9</f>
        <v>15.304</v>
      </c>
      <c r="W73" s="156">
        <f t="shared" si="183"/>
        <v>1293.0999999999999</v>
      </c>
      <c r="X73" s="157">
        <f t="shared" si="184"/>
        <v>15.304</v>
      </c>
      <c r="Y73" s="158">
        <f t="shared" si="185"/>
        <v>1422.4</v>
      </c>
      <c r="Z73" s="158">
        <f t="shared" si="186"/>
        <v>1771.7</v>
      </c>
      <c r="AA73" s="158">
        <f t="shared" si="186"/>
        <v>2095</v>
      </c>
      <c r="AB73" s="158">
        <f t="shared" si="186"/>
        <v>1901</v>
      </c>
      <c r="AC73" s="158">
        <f t="shared" si="186"/>
        <v>2806.2</v>
      </c>
      <c r="AD73" s="158">
        <f t="shared" si="186"/>
        <v>3879.6</v>
      </c>
      <c r="AE73" s="156">
        <f t="shared" si="187"/>
        <v>1311.4</v>
      </c>
      <c r="AF73" s="157">
        <f>RCF!C$13</f>
        <v>15.52</v>
      </c>
      <c r="AG73" s="158">
        <f t="shared" si="188"/>
        <v>2163.8000000000002</v>
      </c>
      <c r="AH73" s="158">
        <f t="shared" si="188"/>
        <v>2753.9</v>
      </c>
      <c r="AI73" s="158">
        <f t="shared" si="188"/>
        <v>3934.2</v>
      </c>
      <c r="AJ73" s="156">
        <f t="shared" si="189"/>
        <v>1326.3</v>
      </c>
      <c r="AK73" s="157">
        <f>RCF!C$25</f>
        <v>15.696666666666665</v>
      </c>
      <c r="AL73" s="156">
        <f t="shared" si="190"/>
        <v>1749.1</v>
      </c>
      <c r="AM73" s="157">
        <f>RCF!C$29</f>
        <v>20.7</v>
      </c>
      <c r="AN73" s="156">
        <f t="shared" si="191"/>
        <v>1400.1</v>
      </c>
      <c r="AO73" s="157">
        <f>RCF!C$33</f>
        <v>16.57</v>
      </c>
      <c r="AP73" s="158">
        <f t="shared" si="192"/>
        <v>2100.1</v>
      </c>
      <c r="AQ73" s="156">
        <f t="shared" si="193"/>
        <v>1390.8</v>
      </c>
      <c r="AR73" s="157">
        <f>RCF!C$35</f>
        <v>16.46</v>
      </c>
      <c r="AS73" s="158">
        <f t="shared" si="194"/>
        <v>1808</v>
      </c>
      <c r="AT73" s="158">
        <f t="shared" si="194"/>
        <v>2016.6</v>
      </c>
      <c r="AU73" s="156">
        <f t="shared" si="195"/>
        <v>1372.8</v>
      </c>
      <c r="AV73" s="157">
        <f>RCF!C$37</f>
        <v>16.247</v>
      </c>
      <c r="AW73" s="251">
        <v>1367.9</v>
      </c>
      <c r="AX73" s="157"/>
      <c r="AY73" s="156">
        <f t="shared" si="196"/>
        <v>1397.6</v>
      </c>
      <c r="AZ73" s="157">
        <f>RCF!C$39</f>
        <v>16.54</v>
      </c>
      <c r="BA73" s="156">
        <f t="shared" si="197"/>
        <v>1333.3</v>
      </c>
      <c r="BB73" s="157">
        <f>RCF!C$41</f>
        <v>15.779</v>
      </c>
    </row>
    <row r="74" spans="1:54" ht="51" x14ac:dyDescent="0.2">
      <c r="A74" s="168">
        <v>6025</v>
      </c>
      <c r="B74" s="170" t="s">
        <v>190</v>
      </c>
      <c r="C74" s="169">
        <v>73.2</v>
      </c>
      <c r="D74" s="156">
        <f t="shared" si="175"/>
        <v>4356.8</v>
      </c>
      <c r="E74" s="157">
        <f>RCF!$C$43</f>
        <v>59.519182319999999</v>
      </c>
      <c r="F74" s="156">
        <f t="shared" si="176"/>
        <v>1155.9000000000001</v>
      </c>
      <c r="G74" s="157">
        <f>RCF!C$5</f>
        <v>15.792</v>
      </c>
      <c r="H74" s="156">
        <f t="shared" si="177"/>
        <v>1155.9744000000001</v>
      </c>
      <c r="I74" s="157">
        <f t="shared" si="178"/>
        <v>15.792</v>
      </c>
      <c r="J74" s="158">
        <f t="shared" si="179"/>
        <v>1271.5718400000001</v>
      </c>
      <c r="K74" s="158">
        <f t="shared" si="179"/>
        <v>1583.6849280000001</v>
      </c>
      <c r="L74" s="158">
        <f t="shared" si="179"/>
        <v>1699.2823680000001</v>
      </c>
      <c r="M74" s="158">
        <f t="shared" si="179"/>
        <v>1872.6785280000001</v>
      </c>
      <c r="N74" s="158">
        <f t="shared" si="179"/>
        <v>2311.9488000000001</v>
      </c>
      <c r="O74" s="158">
        <f t="shared" si="179"/>
        <v>2485.3449599999999</v>
      </c>
      <c r="P74" s="158">
        <f t="shared" si="179"/>
        <v>3467.9232000000002</v>
      </c>
      <c r="Q74" s="156">
        <f t="shared" si="180"/>
        <v>1133.8</v>
      </c>
      <c r="R74" s="157">
        <f>RCF!C$7</f>
        <v>15.49</v>
      </c>
      <c r="S74" s="158">
        <f t="shared" si="181"/>
        <v>1473.9</v>
      </c>
      <c r="T74" s="158">
        <f t="shared" si="181"/>
        <v>1700.7</v>
      </c>
      <c r="U74" s="156">
        <f t="shared" si="182"/>
        <v>1120.2</v>
      </c>
      <c r="V74" s="157">
        <f>RCF!C$9</f>
        <v>15.304</v>
      </c>
      <c r="W74" s="156">
        <f t="shared" si="183"/>
        <v>1120.2</v>
      </c>
      <c r="X74" s="157">
        <f t="shared" si="184"/>
        <v>15.304</v>
      </c>
      <c r="Y74" s="158">
        <f t="shared" si="185"/>
        <v>1232.2</v>
      </c>
      <c r="Z74" s="158">
        <f t="shared" si="186"/>
        <v>1534.7</v>
      </c>
      <c r="AA74" s="158">
        <f t="shared" si="186"/>
        <v>1814.8</v>
      </c>
      <c r="AB74" s="158">
        <f t="shared" si="186"/>
        <v>1646.8</v>
      </c>
      <c r="AC74" s="158">
        <f t="shared" si="186"/>
        <v>2430.9</v>
      </c>
      <c r="AD74" s="158">
        <f t="shared" si="186"/>
        <v>3360.8</v>
      </c>
      <c r="AE74" s="156">
        <f t="shared" si="187"/>
        <v>1136</v>
      </c>
      <c r="AF74" s="157">
        <f>RCF!C$13</f>
        <v>15.52</v>
      </c>
      <c r="AG74" s="158">
        <f t="shared" si="188"/>
        <v>1874.4</v>
      </c>
      <c r="AH74" s="158">
        <f t="shared" si="188"/>
        <v>2385.6</v>
      </c>
      <c r="AI74" s="158">
        <f t="shared" si="188"/>
        <v>3408</v>
      </c>
      <c r="AJ74" s="156">
        <f t="shared" si="189"/>
        <v>1148.9000000000001</v>
      </c>
      <c r="AK74" s="157">
        <f>RCF!C$25</f>
        <v>15.696666666666665</v>
      </c>
      <c r="AL74" s="156">
        <f t="shared" si="190"/>
        <v>1515.2</v>
      </c>
      <c r="AM74" s="157">
        <f>RCF!C$29</f>
        <v>20.7</v>
      </c>
      <c r="AN74" s="156">
        <f t="shared" si="191"/>
        <v>1212.9000000000001</v>
      </c>
      <c r="AO74" s="157">
        <f>RCF!C$33</f>
        <v>16.57</v>
      </c>
      <c r="AP74" s="158">
        <f t="shared" si="192"/>
        <v>1819.3</v>
      </c>
      <c r="AQ74" s="156">
        <f t="shared" si="193"/>
        <v>1204.8</v>
      </c>
      <c r="AR74" s="157">
        <f>RCF!C$35</f>
        <v>16.46</v>
      </c>
      <c r="AS74" s="158">
        <f t="shared" si="194"/>
        <v>1566.2</v>
      </c>
      <c r="AT74" s="158">
        <f t="shared" si="194"/>
        <v>1746.9</v>
      </c>
      <c r="AU74" s="156">
        <f t="shared" si="195"/>
        <v>1189.2</v>
      </c>
      <c r="AV74" s="157">
        <f>RCF!C$37</f>
        <v>16.247</v>
      </c>
      <c r="AW74" s="251">
        <v>1185</v>
      </c>
      <c r="AX74" s="157"/>
      <c r="AY74" s="156">
        <f t="shared" si="196"/>
        <v>1210.7</v>
      </c>
      <c r="AZ74" s="157">
        <f>RCF!C$39</f>
        <v>16.54</v>
      </c>
      <c r="BA74" s="156">
        <f t="shared" si="197"/>
        <v>1155</v>
      </c>
      <c r="BB74" s="157">
        <f>RCF!C$41</f>
        <v>15.779</v>
      </c>
    </row>
    <row r="75" spans="1:54" ht="89.25" x14ac:dyDescent="0.2">
      <c r="A75" s="168">
        <v>6026</v>
      </c>
      <c r="B75" s="170" t="s">
        <v>125</v>
      </c>
      <c r="C75" s="169">
        <v>21.1</v>
      </c>
      <c r="D75" s="156">
        <f t="shared" si="175"/>
        <v>1255.9000000000001</v>
      </c>
      <c r="E75" s="157">
        <f>RCF!$C$43</f>
        <v>59.519182319999999</v>
      </c>
      <c r="F75" s="156">
        <f t="shared" si="176"/>
        <v>333.2</v>
      </c>
      <c r="G75" s="157">
        <f>RCF!C$5</f>
        <v>15.792</v>
      </c>
      <c r="H75" s="156">
        <f t="shared" si="177"/>
        <v>333.21120000000002</v>
      </c>
      <c r="I75" s="157">
        <f t="shared" si="178"/>
        <v>15.792</v>
      </c>
      <c r="J75" s="158">
        <f t="shared" si="179"/>
        <v>366.53232000000003</v>
      </c>
      <c r="K75" s="158">
        <f t="shared" si="179"/>
        <v>456.49934400000006</v>
      </c>
      <c r="L75" s="158">
        <f t="shared" si="179"/>
        <v>489.82046400000002</v>
      </c>
      <c r="M75" s="158">
        <f t="shared" si="179"/>
        <v>539.80214400000011</v>
      </c>
      <c r="N75" s="158">
        <f t="shared" si="179"/>
        <v>666.42240000000004</v>
      </c>
      <c r="O75" s="158">
        <f t="shared" si="179"/>
        <v>716.40408000000002</v>
      </c>
      <c r="P75" s="158">
        <f t="shared" si="179"/>
        <v>999.63360000000011</v>
      </c>
      <c r="Q75" s="156">
        <f t="shared" si="180"/>
        <v>326.8</v>
      </c>
      <c r="R75" s="157">
        <f>RCF!C$7</f>
        <v>15.49</v>
      </c>
      <c r="S75" s="158">
        <f t="shared" si="181"/>
        <v>424.8</v>
      </c>
      <c r="T75" s="158">
        <f t="shared" si="181"/>
        <v>490.2</v>
      </c>
      <c r="U75" s="156">
        <f t="shared" si="182"/>
        <v>322.89999999999998</v>
      </c>
      <c r="V75" s="157">
        <f>RCF!C$9</f>
        <v>15.304</v>
      </c>
      <c r="W75" s="156">
        <f t="shared" si="183"/>
        <v>322.89999999999998</v>
      </c>
      <c r="X75" s="157">
        <f t="shared" si="184"/>
        <v>15.304</v>
      </c>
      <c r="Y75" s="158">
        <f t="shared" si="185"/>
        <v>355.1</v>
      </c>
      <c r="Z75" s="158">
        <f t="shared" si="186"/>
        <v>442.4</v>
      </c>
      <c r="AA75" s="158">
        <f t="shared" si="186"/>
        <v>523.1</v>
      </c>
      <c r="AB75" s="158">
        <f t="shared" si="186"/>
        <v>474.7</v>
      </c>
      <c r="AC75" s="158">
        <f t="shared" si="186"/>
        <v>700.7</v>
      </c>
      <c r="AD75" s="158">
        <f t="shared" si="186"/>
        <v>968.7</v>
      </c>
      <c r="AE75" s="156">
        <f t="shared" si="187"/>
        <v>327.39999999999998</v>
      </c>
      <c r="AF75" s="157">
        <f>RCF!C$13</f>
        <v>15.52</v>
      </c>
      <c r="AG75" s="158">
        <f t="shared" si="188"/>
        <v>540.20000000000005</v>
      </c>
      <c r="AH75" s="158">
        <f t="shared" si="188"/>
        <v>687.5</v>
      </c>
      <c r="AI75" s="158">
        <f t="shared" si="188"/>
        <v>982.2</v>
      </c>
      <c r="AJ75" s="156">
        <f t="shared" si="189"/>
        <v>331.1</v>
      </c>
      <c r="AK75" s="157">
        <f>RCF!C$25</f>
        <v>15.696666666666665</v>
      </c>
      <c r="AL75" s="156">
        <f t="shared" si="190"/>
        <v>436.7</v>
      </c>
      <c r="AM75" s="157">
        <f>RCF!C$29</f>
        <v>20.7</v>
      </c>
      <c r="AN75" s="156">
        <f t="shared" si="191"/>
        <v>349.6</v>
      </c>
      <c r="AO75" s="157">
        <f>RCF!C$33</f>
        <v>16.57</v>
      </c>
      <c r="AP75" s="158">
        <f t="shared" si="192"/>
        <v>524.4</v>
      </c>
      <c r="AQ75" s="156">
        <f t="shared" si="193"/>
        <v>347.3</v>
      </c>
      <c r="AR75" s="157">
        <f>RCF!C$35</f>
        <v>16.46</v>
      </c>
      <c r="AS75" s="158">
        <f t="shared" si="194"/>
        <v>451.4</v>
      </c>
      <c r="AT75" s="158">
        <f t="shared" si="194"/>
        <v>503.5</v>
      </c>
      <c r="AU75" s="156">
        <f t="shared" si="195"/>
        <v>342.8</v>
      </c>
      <c r="AV75" s="157">
        <f>RCF!C$37</f>
        <v>16.247</v>
      </c>
      <c r="AW75" s="251">
        <v>341.6</v>
      </c>
      <c r="AX75" s="157"/>
      <c r="AY75" s="156">
        <f t="shared" si="196"/>
        <v>348.9</v>
      </c>
      <c r="AZ75" s="157">
        <f>RCF!C$39</f>
        <v>16.54</v>
      </c>
      <c r="BA75" s="156">
        <f t="shared" si="197"/>
        <v>332.9</v>
      </c>
      <c r="BB75" s="157">
        <f>RCF!C$41</f>
        <v>15.779</v>
      </c>
    </row>
    <row r="76" spans="1:54" ht="76.5" x14ac:dyDescent="0.2">
      <c r="A76" s="122">
        <v>6027</v>
      </c>
      <c r="B76" s="155" t="s">
        <v>126</v>
      </c>
      <c r="C76" s="88">
        <v>73.5</v>
      </c>
      <c r="D76" s="156">
        <f t="shared" si="175"/>
        <v>4374.7</v>
      </c>
      <c r="E76" s="157">
        <f>RCF!$C$43</f>
        <v>59.519182319999999</v>
      </c>
      <c r="F76" s="156">
        <f t="shared" si="176"/>
        <v>1160.7</v>
      </c>
      <c r="G76" s="157">
        <f>RCF!C$5</f>
        <v>15.792</v>
      </c>
      <c r="H76" s="156">
        <f t="shared" si="177"/>
        <v>1160.712</v>
      </c>
      <c r="I76" s="157">
        <f t="shared" si="178"/>
        <v>15.792</v>
      </c>
      <c r="J76" s="158">
        <f t="shared" si="179"/>
        <v>1276.7832000000001</v>
      </c>
      <c r="K76" s="158">
        <f t="shared" si="179"/>
        <v>1590.1754400000002</v>
      </c>
      <c r="L76" s="158">
        <f t="shared" si="179"/>
        <v>1706.2466399999998</v>
      </c>
      <c r="M76" s="158">
        <f t="shared" si="179"/>
        <v>1880.3534400000001</v>
      </c>
      <c r="N76" s="158">
        <f t="shared" si="179"/>
        <v>2321.424</v>
      </c>
      <c r="O76" s="158">
        <f t="shared" si="179"/>
        <v>2495.5308</v>
      </c>
      <c r="P76" s="158">
        <f t="shared" si="179"/>
        <v>3482.136</v>
      </c>
      <c r="Q76" s="156">
        <f t="shared" si="180"/>
        <v>1138.5</v>
      </c>
      <c r="R76" s="157">
        <f>RCF!C$7</f>
        <v>15.49</v>
      </c>
      <c r="S76" s="158">
        <f t="shared" si="181"/>
        <v>1480</v>
      </c>
      <c r="T76" s="158">
        <f t="shared" si="181"/>
        <v>1707.7</v>
      </c>
      <c r="U76" s="156">
        <f t="shared" si="182"/>
        <v>1124.8</v>
      </c>
      <c r="V76" s="157">
        <f>RCF!C$9</f>
        <v>15.304</v>
      </c>
      <c r="W76" s="156">
        <f t="shared" si="183"/>
        <v>1124.8</v>
      </c>
      <c r="X76" s="157">
        <f t="shared" si="184"/>
        <v>15.304</v>
      </c>
      <c r="Y76" s="158">
        <f t="shared" si="185"/>
        <v>1237.2</v>
      </c>
      <c r="Z76" s="158">
        <f t="shared" si="186"/>
        <v>1541</v>
      </c>
      <c r="AA76" s="158">
        <f t="shared" si="186"/>
        <v>1822.2</v>
      </c>
      <c r="AB76" s="158">
        <f t="shared" si="186"/>
        <v>1653.5</v>
      </c>
      <c r="AC76" s="158">
        <f t="shared" si="186"/>
        <v>2440.9</v>
      </c>
      <c r="AD76" s="158">
        <f t="shared" si="186"/>
        <v>3374.5</v>
      </c>
      <c r="AE76" s="156">
        <f t="shared" si="187"/>
        <v>1140.7</v>
      </c>
      <c r="AF76" s="157">
        <f>RCF!C$13</f>
        <v>15.52</v>
      </c>
      <c r="AG76" s="158">
        <f t="shared" si="188"/>
        <v>1882.2</v>
      </c>
      <c r="AH76" s="158">
        <f t="shared" si="188"/>
        <v>2395.5</v>
      </c>
      <c r="AI76" s="158">
        <f t="shared" si="188"/>
        <v>3422.1</v>
      </c>
      <c r="AJ76" s="156">
        <f t="shared" si="189"/>
        <v>1153.7</v>
      </c>
      <c r="AK76" s="157">
        <f>RCF!C$25</f>
        <v>15.696666666666665</v>
      </c>
      <c r="AL76" s="156">
        <f t="shared" si="190"/>
        <v>1521.4</v>
      </c>
      <c r="AM76" s="157">
        <f>RCF!C$29</f>
        <v>20.7</v>
      </c>
      <c r="AN76" s="156">
        <f t="shared" si="191"/>
        <v>1217.8</v>
      </c>
      <c r="AO76" s="157">
        <f>RCF!C$33</f>
        <v>16.57</v>
      </c>
      <c r="AP76" s="158">
        <f t="shared" si="192"/>
        <v>1826.7</v>
      </c>
      <c r="AQ76" s="156">
        <f t="shared" si="193"/>
        <v>1209.8</v>
      </c>
      <c r="AR76" s="157">
        <f>RCF!C$35</f>
        <v>16.46</v>
      </c>
      <c r="AS76" s="158">
        <f t="shared" si="194"/>
        <v>1572.7</v>
      </c>
      <c r="AT76" s="158">
        <f t="shared" si="194"/>
        <v>1754.2</v>
      </c>
      <c r="AU76" s="156">
        <f t="shared" si="195"/>
        <v>1194.0999999999999</v>
      </c>
      <c r="AV76" s="157">
        <f>RCF!C$37</f>
        <v>16.247</v>
      </c>
      <c r="AW76" s="251">
        <v>1189.8</v>
      </c>
      <c r="AX76" s="157"/>
      <c r="AY76" s="156">
        <f t="shared" si="196"/>
        <v>1215.5999999999999</v>
      </c>
      <c r="AZ76" s="157">
        <f>RCF!C$39</f>
        <v>16.54</v>
      </c>
      <c r="BA76" s="156">
        <f t="shared" si="197"/>
        <v>1159.7</v>
      </c>
      <c r="BB76" s="157">
        <f>RCF!C$41</f>
        <v>15.779</v>
      </c>
    </row>
    <row r="77" spans="1:54" s="103" customFormat="1" ht="76.5" x14ac:dyDescent="0.2">
      <c r="A77" s="122">
        <v>6028</v>
      </c>
      <c r="B77" s="155" t="s">
        <v>127</v>
      </c>
      <c r="C77" s="88">
        <v>31.5</v>
      </c>
      <c r="D77" s="156">
        <f t="shared" si="175"/>
        <v>1874.9</v>
      </c>
      <c r="E77" s="157">
        <f>RCF!$C$43</f>
        <v>59.519182319999999</v>
      </c>
      <c r="F77" s="156">
        <f t="shared" si="176"/>
        <v>497.4</v>
      </c>
      <c r="G77" s="157">
        <f>RCF!C$5</f>
        <v>15.792</v>
      </c>
      <c r="H77" s="156">
        <f t="shared" si="177"/>
        <v>497.44799999999998</v>
      </c>
      <c r="I77" s="157">
        <f t="shared" si="178"/>
        <v>15.792</v>
      </c>
      <c r="J77" s="158">
        <f t="shared" si="179"/>
        <v>547.19280000000003</v>
      </c>
      <c r="K77" s="158">
        <f t="shared" si="179"/>
        <v>681.50376000000006</v>
      </c>
      <c r="L77" s="158">
        <f t="shared" si="179"/>
        <v>731.24856</v>
      </c>
      <c r="M77" s="158">
        <f t="shared" si="179"/>
        <v>805.86576000000002</v>
      </c>
      <c r="N77" s="158">
        <f t="shared" si="179"/>
        <v>994.89599999999996</v>
      </c>
      <c r="O77" s="158">
        <f t="shared" si="179"/>
        <v>1069.5131999999999</v>
      </c>
      <c r="P77" s="158">
        <f t="shared" si="179"/>
        <v>1492.3440000000001</v>
      </c>
      <c r="Q77" s="156">
        <f t="shared" si="180"/>
        <v>487.9</v>
      </c>
      <c r="R77" s="157">
        <f>RCF!C$7</f>
        <v>15.49</v>
      </c>
      <c r="S77" s="158">
        <f t="shared" si="181"/>
        <v>634.20000000000005</v>
      </c>
      <c r="T77" s="158">
        <f t="shared" si="181"/>
        <v>731.8</v>
      </c>
      <c r="U77" s="156">
        <f t="shared" si="182"/>
        <v>482</v>
      </c>
      <c r="V77" s="157">
        <f>RCF!C$9</f>
        <v>15.304</v>
      </c>
      <c r="W77" s="156">
        <f t="shared" si="183"/>
        <v>482</v>
      </c>
      <c r="X77" s="157">
        <f t="shared" si="184"/>
        <v>15.304</v>
      </c>
      <c r="Y77" s="158">
        <f t="shared" si="185"/>
        <v>530.20000000000005</v>
      </c>
      <c r="Z77" s="158">
        <f t="shared" si="186"/>
        <v>660.4</v>
      </c>
      <c r="AA77" s="158">
        <f t="shared" si="186"/>
        <v>781</v>
      </c>
      <c r="AB77" s="158">
        <f t="shared" si="186"/>
        <v>708.7</v>
      </c>
      <c r="AC77" s="158">
        <f t="shared" si="186"/>
        <v>1046.0999999999999</v>
      </c>
      <c r="AD77" s="158">
        <f t="shared" si="186"/>
        <v>1446.2</v>
      </c>
      <c r="AE77" s="156">
        <f t="shared" si="187"/>
        <v>488.8</v>
      </c>
      <c r="AF77" s="157">
        <f>RCF!C$13</f>
        <v>15.52</v>
      </c>
      <c r="AG77" s="158">
        <f t="shared" si="188"/>
        <v>806.5</v>
      </c>
      <c r="AH77" s="158">
        <f t="shared" si="188"/>
        <v>1026.5</v>
      </c>
      <c r="AI77" s="158">
        <f t="shared" si="188"/>
        <v>1466.4</v>
      </c>
      <c r="AJ77" s="156">
        <f t="shared" si="189"/>
        <v>494.4</v>
      </c>
      <c r="AK77" s="157">
        <f>RCF!C$25</f>
        <v>15.696666666666665</v>
      </c>
      <c r="AL77" s="156">
        <f t="shared" si="190"/>
        <v>652</v>
      </c>
      <c r="AM77" s="157">
        <f>RCF!C$29</f>
        <v>20.7</v>
      </c>
      <c r="AN77" s="156">
        <f t="shared" si="191"/>
        <v>521.9</v>
      </c>
      <c r="AO77" s="157">
        <f>RCF!C$33</f>
        <v>16.57</v>
      </c>
      <c r="AP77" s="158">
        <f t="shared" si="192"/>
        <v>782.8</v>
      </c>
      <c r="AQ77" s="156">
        <f t="shared" si="193"/>
        <v>518.4</v>
      </c>
      <c r="AR77" s="157">
        <f>RCF!C$35</f>
        <v>16.46</v>
      </c>
      <c r="AS77" s="158">
        <f t="shared" si="194"/>
        <v>673.9</v>
      </c>
      <c r="AT77" s="158">
        <f t="shared" si="194"/>
        <v>751.6</v>
      </c>
      <c r="AU77" s="156">
        <f t="shared" si="195"/>
        <v>511.7</v>
      </c>
      <c r="AV77" s="157">
        <f>RCF!C$37</f>
        <v>16.247</v>
      </c>
      <c r="AW77" s="251">
        <v>509.9</v>
      </c>
      <c r="AX77" s="157"/>
      <c r="AY77" s="156">
        <f t="shared" si="196"/>
        <v>521</v>
      </c>
      <c r="AZ77" s="157">
        <f>RCF!C$39</f>
        <v>16.54</v>
      </c>
      <c r="BA77" s="156">
        <f t="shared" si="197"/>
        <v>497</v>
      </c>
      <c r="BB77" s="157">
        <f>RCF!C$41</f>
        <v>15.779</v>
      </c>
    </row>
    <row r="78" spans="1:54" s="103" customFormat="1" x14ac:dyDescent="0.2">
      <c r="A78" s="159"/>
      <c r="B78" s="160"/>
      <c r="C78" s="161"/>
      <c r="D78" s="161"/>
      <c r="E78" s="162"/>
      <c r="F78" s="163"/>
      <c r="G78" s="162"/>
      <c r="H78" s="164"/>
      <c r="I78" s="165"/>
      <c r="J78" s="166"/>
      <c r="K78" s="166"/>
      <c r="L78" s="166"/>
      <c r="M78" s="166"/>
      <c r="N78" s="166"/>
      <c r="O78" s="166"/>
      <c r="P78" s="166"/>
      <c r="Q78" s="164"/>
      <c r="R78" s="165"/>
      <c r="S78" s="166"/>
      <c r="T78" s="166"/>
      <c r="U78" s="164"/>
      <c r="V78" s="165"/>
      <c r="W78" s="164"/>
      <c r="X78" s="165"/>
      <c r="Y78" s="166"/>
      <c r="Z78" s="166"/>
      <c r="AA78" s="166"/>
      <c r="AB78" s="166"/>
      <c r="AC78" s="166"/>
      <c r="AD78" s="166"/>
      <c r="AE78" s="164"/>
      <c r="AF78" s="165"/>
      <c r="AG78" s="166"/>
      <c r="AH78" s="166"/>
      <c r="AI78" s="166"/>
      <c r="AJ78" s="164"/>
      <c r="AK78" s="165"/>
      <c r="AL78" s="164"/>
      <c r="AM78" s="165"/>
      <c r="AN78" s="164"/>
      <c r="AO78" s="165"/>
      <c r="AP78" s="166"/>
      <c r="AQ78" s="164"/>
      <c r="AR78" s="165"/>
      <c r="AS78" s="166"/>
      <c r="AT78" s="166"/>
      <c r="AU78" s="161"/>
      <c r="AV78" s="167"/>
      <c r="AW78" s="161"/>
      <c r="AX78" s="167"/>
      <c r="AY78" s="164"/>
      <c r="AZ78" s="165"/>
      <c r="BA78" s="164"/>
      <c r="BB78" s="165"/>
    </row>
    <row r="79" spans="1:54" s="275" customFormat="1" x14ac:dyDescent="0.2">
      <c r="A79" s="292" t="s">
        <v>218</v>
      </c>
      <c r="B79" s="293"/>
      <c r="C79" s="293"/>
      <c r="D79" s="293"/>
      <c r="E79" s="294"/>
      <c r="F79" s="294"/>
      <c r="G79" s="294"/>
      <c r="H79" s="295"/>
      <c r="I79" s="294"/>
      <c r="J79" s="296"/>
      <c r="K79" s="296"/>
      <c r="L79" s="296"/>
      <c r="M79" s="296"/>
      <c r="N79" s="296"/>
      <c r="O79" s="296"/>
      <c r="P79" s="296"/>
      <c r="Q79" s="295"/>
      <c r="R79" s="294"/>
      <c r="S79" s="296"/>
      <c r="T79" s="296"/>
      <c r="U79" s="297"/>
      <c r="V79" s="298"/>
      <c r="W79" s="297"/>
      <c r="X79" s="298"/>
      <c r="Y79" s="293"/>
      <c r="Z79" s="293"/>
      <c r="AA79" s="293"/>
      <c r="AB79" s="293"/>
      <c r="AC79" s="293"/>
      <c r="AD79" s="293"/>
      <c r="AE79" s="295"/>
      <c r="AF79" s="295"/>
      <c r="AG79" s="295"/>
      <c r="AH79" s="295"/>
      <c r="AI79" s="295"/>
      <c r="AJ79" s="293"/>
      <c r="AK79" s="298"/>
      <c r="AL79" s="293"/>
      <c r="AM79" s="298"/>
      <c r="AN79" s="299"/>
      <c r="AO79" s="296"/>
      <c r="AP79" s="295"/>
      <c r="AQ79" s="295"/>
      <c r="AR79" s="295"/>
      <c r="AS79" s="295"/>
      <c r="AT79" s="295"/>
      <c r="AU79" s="295"/>
      <c r="AV79" s="295"/>
      <c r="AW79" s="295"/>
      <c r="AX79" s="295"/>
      <c r="AY79" s="295"/>
      <c r="AZ79" s="295"/>
      <c r="BA79" s="299"/>
      <c r="BB79" s="300"/>
    </row>
    <row r="80" spans="1:54" s="275" customFormat="1" x14ac:dyDescent="0.2">
      <c r="A80" s="254" t="s">
        <v>65</v>
      </c>
      <c r="B80" s="1"/>
      <c r="C80" s="2"/>
      <c r="D80" s="3"/>
      <c r="E80" s="4"/>
      <c r="F80" s="4"/>
      <c r="G80" s="4"/>
      <c r="H80" s="4"/>
      <c r="I80" s="4"/>
      <c r="J80" s="4"/>
      <c r="K80" s="4"/>
      <c r="L80" s="4"/>
      <c r="M80" s="4"/>
      <c r="N80" s="4"/>
      <c r="O80" s="4"/>
      <c r="P80" s="4"/>
      <c r="Q80" s="4"/>
      <c r="R80" s="4"/>
      <c r="S80" s="4"/>
      <c r="T80" s="4"/>
      <c r="U80" s="3"/>
      <c r="V80" s="4"/>
      <c r="W80" s="3"/>
      <c r="X80" s="4"/>
      <c r="Y80" s="1"/>
      <c r="Z80" s="1"/>
      <c r="AA80" s="1"/>
      <c r="AB80" s="1"/>
      <c r="AC80" s="1"/>
      <c r="AD80" s="1"/>
      <c r="AE80" s="3"/>
      <c r="AF80" s="4"/>
      <c r="AG80" s="4"/>
      <c r="AH80" s="4"/>
      <c r="AI80" s="4"/>
      <c r="AJ80" s="3"/>
      <c r="AK80" s="4"/>
      <c r="AL80" s="3"/>
      <c r="AM80" s="4"/>
      <c r="AN80" s="3"/>
      <c r="AO80" s="4"/>
      <c r="AP80" s="4"/>
      <c r="AQ80" s="3"/>
      <c r="AR80" s="4"/>
      <c r="AS80" s="4"/>
      <c r="AT80" s="4"/>
      <c r="AU80" s="3"/>
      <c r="AV80" s="4"/>
      <c r="AW80" s="3"/>
      <c r="AX80" s="4"/>
      <c r="AY80" s="3"/>
      <c r="AZ80" s="4"/>
      <c r="BA80" s="4"/>
      <c r="BB80" s="5"/>
    </row>
    <row r="81" spans="1:54" s="275" customFormat="1" x14ac:dyDescent="0.2">
      <c r="A81" s="276" t="s">
        <v>164</v>
      </c>
      <c r="B81" s="256"/>
      <c r="C81" s="256"/>
      <c r="D81" s="256"/>
      <c r="E81" s="256"/>
      <c r="F81" s="257"/>
      <c r="G81" s="257"/>
      <c r="H81" s="257"/>
      <c r="I81" s="257"/>
      <c r="J81" s="258"/>
      <c r="K81" s="258"/>
      <c r="L81" s="258"/>
      <c r="M81" s="258"/>
      <c r="N81" s="258"/>
      <c r="O81" s="258"/>
      <c r="P81" s="258"/>
      <c r="Q81" s="257"/>
      <c r="R81" s="257"/>
      <c r="S81" s="258"/>
      <c r="T81" s="258"/>
      <c r="U81" s="257"/>
      <c r="V81" s="257"/>
      <c r="W81" s="257"/>
      <c r="X81" s="257"/>
      <c r="Y81" s="259"/>
      <c r="Z81" s="259"/>
      <c r="AA81" s="259"/>
      <c r="AB81" s="259"/>
      <c r="AC81" s="259"/>
      <c r="AD81" s="259"/>
      <c r="AE81" s="257"/>
      <c r="AF81" s="257"/>
      <c r="AG81" s="9"/>
      <c r="AH81" s="9"/>
      <c r="AI81" s="9"/>
      <c r="AJ81" s="257"/>
      <c r="AK81" s="257"/>
      <c r="AL81" s="257"/>
      <c r="AM81" s="257"/>
      <c r="AN81" s="174"/>
      <c r="AO81" s="257"/>
      <c r="AP81" s="9"/>
      <c r="AQ81" s="174"/>
      <c r="AR81" s="257"/>
      <c r="AS81" s="9"/>
      <c r="AT81" s="9"/>
      <c r="AU81" s="174"/>
      <c r="AV81" s="257"/>
      <c r="AW81" s="312"/>
      <c r="AX81" s="257"/>
      <c r="AY81" s="174"/>
      <c r="AZ81" s="175"/>
      <c r="BA81" s="257"/>
      <c r="BB81" s="176"/>
    </row>
    <row r="82" spans="1:54" s="275" customFormat="1" x14ac:dyDescent="0.2">
      <c r="A82" s="177" t="s">
        <v>219</v>
      </c>
      <c r="B82" s="256"/>
      <c r="C82" s="256"/>
      <c r="D82" s="256"/>
      <c r="E82" s="256"/>
      <c r="F82" s="257"/>
      <c r="G82" s="257"/>
      <c r="H82" s="257"/>
      <c r="I82" s="257"/>
      <c r="J82" s="258"/>
      <c r="K82" s="258"/>
      <c r="L82" s="258"/>
      <c r="M82" s="258"/>
      <c r="N82" s="258"/>
      <c r="O82" s="258"/>
      <c r="P82" s="258"/>
      <c r="Q82" s="257"/>
      <c r="R82" s="257"/>
      <c r="S82" s="258"/>
      <c r="T82" s="258"/>
      <c r="U82" s="257"/>
      <c r="V82" s="257"/>
      <c r="W82" s="257"/>
      <c r="X82" s="257"/>
      <c r="Y82" s="259"/>
      <c r="Z82" s="259"/>
      <c r="AA82" s="259"/>
      <c r="AB82" s="259"/>
      <c r="AC82" s="259"/>
      <c r="AD82" s="259"/>
      <c r="AE82" s="257"/>
      <c r="AF82" s="257"/>
      <c r="AG82" s="9"/>
      <c r="AH82" s="9"/>
      <c r="AI82" s="9"/>
      <c r="AJ82" s="257"/>
      <c r="AK82" s="257"/>
      <c r="AL82" s="257"/>
      <c r="AM82" s="257"/>
      <c r="AN82" s="174"/>
      <c r="AO82" s="257"/>
      <c r="AP82" s="9"/>
      <c r="AQ82" s="174"/>
      <c r="AR82" s="257"/>
      <c r="AS82" s="9"/>
      <c r="AT82" s="9"/>
      <c r="AU82" s="174"/>
      <c r="AV82" s="257"/>
      <c r="AW82" s="312"/>
      <c r="AX82" s="257"/>
      <c r="AY82" s="174"/>
      <c r="AZ82" s="175"/>
      <c r="BA82" s="257"/>
      <c r="BB82" s="176"/>
    </row>
    <row r="83" spans="1:54" s="275" customFormat="1" x14ac:dyDescent="0.2">
      <c r="A83" s="277" t="s">
        <v>203</v>
      </c>
      <c r="B83" s="257"/>
      <c r="C83" s="259"/>
      <c r="D83" s="8"/>
      <c r="E83" s="9"/>
      <c r="F83" s="9"/>
      <c r="G83" s="9"/>
      <c r="H83" s="9"/>
      <c r="I83" s="9"/>
      <c r="J83" s="258"/>
      <c r="K83" s="258"/>
      <c r="L83" s="258"/>
      <c r="M83" s="258"/>
      <c r="N83" s="258"/>
      <c r="O83" s="258"/>
      <c r="P83" s="258"/>
      <c r="Q83" s="9"/>
      <c r="R83" s="9"/>
      <c r="S83" s="258"/>
      <c r="T83" s="258"/>
      <c r="U83" s="8"/>
      <c r="V83" s="9"/>
      <c r="W83" s="8"/>
      <c r="X83" s="9"/>
      <c r="Y83" s="259"/>
      <c r="Z83" s="259"/>
      <c r="AA83" s="259"/>
      <c r="AB83" s="259"/>
      <c r="AC83" s="259"/>
      <c r="AD83" s="259"/>
      <c r="AE83" s="8"/>
      <c r="AF83" s="9"/>
      <c r="AG83" s="9"/>
      <c r="AH83" s="9"/>
      <c r="AI83" s="9"/>
      <c r="AJ83" s="8"/>
      <c r="AK83" s="9"/>
      <c r="AL83" s="8"/>
      <c r="AM83" s="9"/>
      <c r="AN83" s="8"/>
      <c r="AO83" s="9"/>
      <c r="AP83" s="9"/>
      <c r="AQ83" s="8"/>
      <c r="AR83" s="9"/>
      <c r="AS83" s="9"/>
      <c r="AT83" s="9"/>
      <c r="AU83" s="8"/>
      <c r="AV83" s="9"/>
      <c r="AW83" s="8"/>
      <c r="AX83" s="9"/>
      <c r="AY83" s="8"/>
      <c r="AZ83" s="9"/>
      <c r="BA83" s="9"/>
      <c r="BB83" s="10"/>
    </row>
    <row r="84" spans="1:54" s="275" customFormat="1" x14ac:dyDescent="0.2">
      <c r="A84" s="255" t="s">
        <v>204</v>
      </c>
      <c r="B84" s="257"/>
      <c r="C84" s="259"/>
      <c r="D84" s="8"/>
      <c r="E84" s="9"/>
      <c r="F84" s="9"/>
      <c r="G84" s="9"/>
      <c r="H84" s="9"/>
      <c r="I84" s="9"/>
      <c r="J84" s="9"/>
      <c r="K84" s="9"/>
      <c r="L84" s="9"/>
      <c r="M84" s="9"/>
      <c r="N84" s="9"/>
      <c r="O84" s="9"/>
      <c r="P84" s="9"/>
      <c r="Q84" s="9"/>
      <c r="R84" s="9"/>
      <c r="S84" s="9"/>
      <c r="T84" s="9"/>
      <c r="U84" s="8"/>
      <c r="V84" s="9"/>
      <c r="W84" s="8"/>
      <c r="X84" s="9"/>
      <c r="Y84" s="259"/>
      <c r="Z84" s="259"/>
      <c r="AA84" s="259"/>
      <c r="AB84" s="259"/>
      <c r="AC84" s="259"/>
      <c r="AD84" s="259"/>
      <c r="AE84" s="8"/>
      <c r="AF84" s="9"/>
      <c r="AG84" s="9"/>
      <c r="AH84" s="9"/>
      <c r="AI84" s="9"/>
      <c r="AJ84" s="8"/>
      <c r="AK84" s="9"/>
      <c r="AL84" s="8"/>
      <c r="AM84" s="9"/>
      <c r="AN84" s="8"/>
      <c r="AO84" s="9"/>
      <c r="AP84" s="9"/>
      <c r="AQ84" s="8"/>
      <c r="AR84" s="9"/>
      <c r="AS84" s="9"/>
      <c r="AT84" s="9"/>
      <c r="AU84" s="8"/>
      <c r="AV84" s="9"/>
      <c r="AW84" s="8"/>
      <c r="AX84" s="9"/>
      <c r="AY84" s="8"/>
      <c r="AZ84" s="9"/>
      <c r="BA84" s="9"/>
      <c r="BB84" s="10"/>
    </row>
    <row r="85" spans="1:54" s="275" customFormat="1" x14ac:dyDescent="0.2">
      <c r="A85" s="276" t="s">
        <v>220</v>
      </c>
      <c r="B85" s="257"/>
      <c r="C85" s="259"/>
      <c r="D85" s="8"/>
      <c r="E85" s="9"/>
      <c r="F85" s="9"/>
      <c r="G85" s="9"/>
      <c r="H85" s="9"/>
      <c r="I85" s="9"/>
      <c r="J85" s="9"/>
      <c r="K85" s="9"/>
      <c r="L85" s="9"/>
      <c r="M85" s="9"/>
      <c r="N85" s="9"/>
      <c r="O85" s="9"/>
      <c r="P85" s="9"/>
      <c r="Q85" s="9"/>
      <c r="R85" s="9"/>
      <c r="S85" s="9"/>
      <c r="T85" s="9"/>
      <c r="U85" s="8"/>
      <c r="V85" s="9"/>
      <c r="W85" s="8"/>
      <c r="X85" s="9"/>
      <c r="Y85" s="259"/>
      <c r="Z85" s="259"/>
      <c r="AA85" s="259"/>
      <c r="AB85" s="259"/>
      <c r="AC85" s="259"/>
      <c r="AD85" s="259"/>
      <c r="AE85" s="8"/>
      <c r="AF85" s="9"/>
      <c r="AG85" s="9"/>
      <c r="AH85" s="9"/>
      <c r="AI85" s="9"/>
      <c r="AJ85" s="8"/>
      <c r="AK85" s="9"/>
      <c r="AL85" s="8"/>
      <c r="AM85" s="9"/>
      <c r="AN85" s="8"/>
      <c r="AO85" s="9"/>
      <c r="AP85" s="9"/>
      <c r="AQ85" s="8"/>
      <c r="AR85" s="9"/>
      <c r="AS85" s="9"/>
      <c r="AT85" s="9"/>
      <c r="AU85" s="8"/>
      <c r="AV85" s="9"/>
      <c r="AW85" s="8"/>
      <c r="AX85" s="9"/>
      <c r="AY85" s="8"/>
      <c r="AZ85" s="9"/>
      <c r="BA85" s="9"/>
      <c r="BB85" s="10"/>
    </row>
    <row r="86" spans="1:54" s="275" customFormat="1" x14ac:dyDescent="0.2">
      <c r="A86" s="278" t="s">
        <v>221</v>
      </c>
      <c r="B86" s="257"/>
      <c r="C86" s="259"/>
      <c r="D86" s="8"/>
      <c r="E86" s="9"/>
      <c r="F86" s="9"/>
      <c r="G86" s="9"/>
      <c r="H86" s="9"/>
      <c r="I86" s="9"/>
      <c r="J86" s="9"/>
      <c r="K86" s="9"/>
      <c r="L86" s="9"/>
      <c r="M86" s="9"/>
      <c r="N86" s="9"/>
      <c r="O86" s="9"/>
      <c r="P86" s="9"/>
      <c r="Q86" s="9"/>
      <c r="R86" s="9"/>
      <c r="S86" s="9"/>
      <c r="T86" s="9"/>
      <c r="U86" s="8"/>
      <c r="V86" s="9"/>
      <c r="W86" s="8"/>
      <c r="X86" s="9"/>
      <c r="Y86" s="259"/>
      <c r="Z86" s="259"/>
      <c r="AA86" s="259"/>
      <c r="AB86" s="259"/>
      <c r="AC86" s="259"/>
      <c r="AD86" s="259"/>
      <c r="AE86" s="8"/>
      <c r="AF86" s="9"/>
      <c r="AG86" s="9"/>
      <c r="AH86" s="9"/>
      <c r="AI86" s="9"/>
      <c r="AJ86" s="8"/>
      <c r="AK86" s="9"/>
      <c r="AL86" s="8"/>
      <c r="AM86" s="9"/>
      <c r="AN86" s="8"/>
      <c r="AO86" s="9"/>
      <c r="AP86" s="9"/>
      <c r="AQ86" s="8"/>
      <c r="AR86" s="9"/>
      <c r="AS86" s="9"/>
      <c r="AT86" s="9"/>
      <c r="AU86" s="8"/>
      <c r="AV86" s="9"/>
      <c r="AW86" s="8"/>
      <c r="AX86" s="9"/>
      <c r="AY86" s="8"/>
      <c r="AZ86" s="9"/>
      <c r="BA86" s="9"/>
      <c r="BB86" s="10"/>
    </row>
    <row r="87" spans="1:54" s="275" customFormat="1" x14ac:dyDescent="0.2">
      <c r="A87" s="279" t="s">
        <v>222</v>
      </c>
      <c r="B87" s="257"/>
      <c r="C87" s="259"/>
      <c r="D87" s="8"/>
      <c r="E87" s="9"/>
      <c r="F87" s="9"/>
      <c r="G87" s="9"/>
      <c r="H87" s="9"/>
      <c r="I87" s="9"/>
      <c r="J87" s="9"/>
      <c r="K87" s="9"/>
      <c r="L87" s="9"/>
      <c r="M87" s="9"/>
      <c r="N87" s="9"/>
      <c r="O87" s="9"/>
      <c r="P87" s="9"/>
      <c r="Q87" s="9"/>
      <c r="R87" s="9"/>
      <c r="S87" s="9"/>
      <c r="T87" s="9"/>
      <c r="U87" s="8"/>
      <c r="V87" s="9"/>
      <c r="W87" s="8"/>
      <c r="X87" s="9"/>
      <c r="Y87" s="259"/>
      <c r="Z87" s="259"/>
      <c r="AA87" s="259"/>
      <c r="AB87" s="259"/>
      <c r="AC87" s="259"/>
      <c r="AD87" s="259"/>
      <c r="AE87" s="8"/>
      <c r="AF87" s="9"/>
      <c r="AG87" s="9"/>
      <c r="AH87" s="9"/>
      <c r="AI87" s="9"/>
      <c r="AJ87" s="8"/>
      <c r="AK87" s="9"/>
      <c r="AL87" s="8"/>
      <c r="AM87" s="9"/>
      <c r="AN87" s="8"/>
      <c r="AO87" s="9"/>
      <c r="AP87" s="9"/>
      <c r="AQ87" s="8"/>
      <c r="AR87" s="9"/>
      <c r="AS87" s="9"/>
      <c r="AT87" s="9"/>
      <c r="AU87" s="8"/>
      <c r="AV87" s="9"/>
      <c r="AW87" s="8"/>
      <c r="AX87" s="9"/>
      <c r="AY87" s="8"/>
      <c r="AZ87" s="9"/>
      <c r="BA87" s="9"/>
      <c r="BB87" s="10"/>
    </row>
    <row r="88" spans="1:54" s="275" customFormat="1" x14ac:dyDescent="0.2">
      <c r="A88" s="278" t="s">
        <v>223</v>
      </c>
      <c r="B88" s="257"/>
      <c r="C88" s="259"/>
      <c r="D88" s="8"/>
      <c r="E88" s="9"/>
      <c r="F88" s="9"/>
      <c r="G88" s="9"/>
      <c r="H88" s="9"/>
      <c r="I88" s="9"/>
      <c r="J88" s="9"/>
      <c r="K88" s="9"/>
      <c r="L88" s="9"/>
      <c r="M88" s="9"/>
      <c r="N88" s="9"/>
      <c r="O88" s="9"/>
      <c r="P88" s="9"/>
      <c r="Q88" s="9"/>
      <c r="R88" s="9"/>
      <c r="S88" s="9"/>
      <c r="T88" s="9"/>
      <c r="U88" s="8"/>
      <c r="V88" s="9"/>
      <c r="W88" s="8"/>
      <c r="X88" s="9"/>
      <c r="Y88" s="259"/>
      <c r="Z88" s="259"/>
      <c r="AA88" s="259"/>
      <c r="AB88" s="259"/>
      <c r="AC88" s="259"/>
      <c r="AD88" s="259"/>
      <c r="AE88" s="8"/>
      <c r="AF88" s="9"/>
      <c r="AG88" s="9"/>
      <c r="AH88" s="9"/>
      <c r="AI88" s="9"/>
      <c r="AJ88" s="8"/>
      <c r="AK88" s="9"/>
      <c r="AL88" s="8"/>
      <c r="AM88" s="9"/>
      <c r="AN88" s="8"/>
      <c r="AO88" s="9"/>
      <c r="AP88" s="9"/>
      <c r="AQ88" s="8"/>
      <c r="AR88" s="9"/>
      <c r="AS88" s="9"/>
      <c r="AT88" s="9"/>
      <c r="AU88" s="8"/>
      <c r="AV88" s="9"/>
      <c r="AW88" s="8"/>
      <c r="AX88" s="9"/>
      <c r="AY88" s="8"/>
      <c r="AZ88" s="9"/>
      <c r="BA88" s="9"/>
      <c r="BB88" s="10"/>
    </row>
    <row r="89" spans="1:54" s="275" customFormat="1" x14ac:dyDescent="0.2">
      <c r="A89" s="280" t="s">
        <v>224</v>
      </c>
      <c r="B89" s="257"/>
      <c r="C89" s="259"/>
      <c r="D89" s="8"/>
      <c r="E89" s="9"/>
      <c r="F89" s="9"/>
      <c r="G89" s="9"/>
      <c r="H89" s="9"/>
      <c r="I89" s="9"/>
      <c r="J89" s="9"/>
      <c r="K89" s="9"/>
      <c r="L89" s="9"/>
      <c r="M89" s="9"/>
      <c r="N89" s="9"/>
      <c r="O89" s="9"/>
      <c r="P89" s="9"/>
      <c r="Q89" s="9"/>
      <c r="R89" s="9"/>
      <c r="S89" s="9"/>
      <c r="T89" s="9"/>
      <c r="U89" s="8"/>
      <c r="V89" s="9"/>
      <c r="W89" s="8"/>
      <c r="X89" s="9"/>
      <c r="Y89" s="259"/>
      <c r="Z89" s="259"/>
      <c r="AA89" s="259"/>
      <c r="AB89" s="259"/>
      <c r="AC89" s="259"/>
      <c r="AD89" s="259"/>
      <c r="AE89" s="8"/>
      <c r="AF89" s="9"/>
      <c r="AG89" s="9"/>
      <c r="AH89" s="9"/>
      <c r="AI89" s="9"/>
      <c r="AJ89" s="8"/>
      <c r="AK89" s="9"/>
      <c r="AL89" s="8"/>
      <c r="AM89" s="9"/>
      <c r="AN89" s="8"/>
      <c r="AO89" s="9"/>
      <c r="AP89" s="9"/>
      <c r="AQ89" s="8"/>
      <c r="AR89" s="9"/>
      <c r="AS89" s="9"/>
      <c r="AT89" s="9"/>
      <c r="AU89" s="8"/>
      <c r="AV89" s="9"/>
      <c r="AW89" s="8"/>
      <c r="AX89" s="9"/>
      <c r="AY89" s="8"/>
      <c r="AZ89" s="9"/>
      <c r="BA89" s="9"/>
      <c r="BB89" s="10"/>
    </row>
    <row r="90" spans="1:54" s="275" customFormat="1" x14ac:dyDescent="0.2">
      <c r="A90" s="276" t="s">
        <v>205</v>
      </c>
      <c r="B90" s="257"/>
      <c r="C90" s="259"/>
      <c r="D90" s="8"/>
      <c r="E90" s="9"/>
      <c r="F90" s="9"/>
      <c r="G90" s="9"/>
      <c r="H90" s="9"/>
      <c r="I90" s="9"/>
      <c r="J90" s="9"/>
      <c r="K90" s="9"/>
      <c r="L90" s="9"/>
      <c r="M90" s="9"/>
      <c r="N90" s="9"/>
      <c r="O90" s="9"/>
      <c r="P90" s="9"/>
      <c r="Q90" s="9"/>
      <c r="R90" s="9"/>
      <c r="S90" s="9"/>
      <c r="T90" s="9"/>
      <c r="U90" s="8"/>
      <c r="V90" s="9"/>
      <c r="W90" s="8"/>
      <c r="X90" s="9"/>
      <c r="Y90" s="259"/>
      <c r="Z90" s="259"/>
      <c r="AA90" s="259"/>
      <c r="AB90" s="259"/>
      <c r="AC90" s="259"/>
      <c r="AD90" s="259"/>
      <c r="AE90" s="8"/>
      <c r="AF90" s="9"/>
      <c r="AG90" s="9"/>
      <c r="AH90" s="9"/>
      <c r="AI90" s="9"/>
      <c r="AJ90" s="8"/>
      <c r="AK90" s="9"/>
      <c r="AL90" s="8"/>
      <c r="AM90" s="9"/>
      <c r="AN90" s="8"/>
      <c r="AO90" s="9"/>
      <c r="AP90" s="9"/>
      <c r="AQ90" s="8"/>
      <c r="AR90" s="9"/>
      <c r="AS90" s="9"/>
      <c r="AT90" s="9"/>
      <c r="AU90" s="8"/>
      <c r="AV90" s="9"/>
      <c r="AW90" s="8"/>
      <c r="AX90" s="9"/>
      <c r="AY90" s="8"/>
      <c r="AZ90" s="9"/>
      <c r="BA90" s="9"/>
      <c r="BB90" s="10"/>
    </row>
    <row r="91" spans="1:54" s="275" customFormat="1" x14ac:dyDescent="0.2">
      <c r="A91" s="255" t="s">
        <v>206</v>
      </c>
      <c r="B91" s="257"/>
      <c r="C91" s="259"/>
      <c r="D91" s="8"/>
      <c r="E91" s="9"/>
      <c r="F91" s="9"/>
      <c r="G91" s="9"/>
      <c r="H91" s="9"/>
      <c r="I91" s="9"/>
      <c r="J91" s="9"/>
      <c r="K91" s="9"/>
      <c r="L91" s="9"/>
      <c r="M91" s="9"/>
      <c r="N91" s="9"/>
      <c r="O91" s="9"/>
      <c r="P91" s="9"/>
      <c r="Q91" s="9"/>
      <c r="R91" s="9"/>
      <c r="S91" s="9"/>
      <c r="T91" s="9"/>
      <c r="U91" s="8"/>
      <c r="V91" s="9"/>
      <c r="W91" s="8"/>
      <c r="X91" s="9"/>
      <c r="Y91" s="259"/>
      <c r="Z91" s="259"/>
      <c r="AA91" s="259"/>
      <c r="AB91" s="259"/>
      <c r="AC91" s="259"/>
      <c r="AD91" s="259"/>
      <c r="AE91" s="8"/>
      <c r="AF91" s="9"/>
      <c r="AG91" s="9"/>
      <c r="AH91" s="9"/>
      <c r="AI91" s="9"/>
      <c r="AJ91" s="8"/>
      <c r="AK91" s="9"/>
      <c r="AL91" s="8"/>
      <c r="AM91" s="9"/>
      <c r="AN91" s="8"/>
      <c r="AO91" s="9"/>
      <c r="AP91" s="9"/>
      <c r="AQ91" s="8"/>
      <c r="AR91" s="9"/>
      <c r="AS91" s="9"/>
      <c r="AT91" s="9"/>
      <c r="AU91" s="8"/>
      <c r="AV91" s="9"/>
      <c r="AW91" s="8"/>
      <c r="AX91" s="9"/>
      <c r="AY91" s="8"/>
      <c r="AZ91" s="9"/>
      <c r="BA91" s="9"/>
      <c r="BB91" s="10"/>
    </row>
    <row r="92" spans="1:54" s="275" customFormat="1" x14ac:dyDescent="0.2">
      <c r="A92" s="255" t="s">
        <v>207</v>
      </c>
      <c r="B92" s="257"/>
      <c r="C92" s="259"/>
      <c r="D92" s="8"/>
      <c r="E92" s="9"/>
      <c r="F92" s="9"/>
      <c r="G92" s="9"/>
      <c r="H92" s="9"/>
      <c r="I92" s="9"/>
      <c r="J92" s="9"/>
      <c r="K92" s="9"/>
      <c r="L92" s="9"/>
      <c r="M92" s="9"/>
      <c r="N92" s="9"/>
      <c r="O92" s="9"/>
      <c r="P92" s="9"/>
      <c r="Q92" s="9"/>
      <c r="R92" s="9"/>
      <c r="S92" s="9"/>
      <c r="T92" s="9"/>
      <c r="U92" s="8"/>
      <c r="V92" s="9"/>
      <c r="W92" s="8"/>
      <c r="X92" s="9"/>
      <c r="Y92" s="259"/>
      <c r="Z92" s="259"/>
      <c r="AA92" s="259"/>
      <c r="AB92" s="259"/>
      <c r="AC92" s="259"/>
      <c r="AD92" s="259"/>
      <c r="AE92" s="8"/>
      <c r="AF92" s="9"/>
      <c r="AG92" s="9"/>
      <c r="AH92" s="9"/>
      <c r="AI92" s="9"/>
      <c r="AJ92" s="8"/>
      <c r="AK92" s="9"/>
      <c r="AL92" s="8"/>
      <c r="AM92" s="9"/>
      <c r="AN92" s="8"/>
      <c r="AO92" s="9"/>
      <c r="AP92" s="9"/>
      <c r="AQ92" s="8"/>
      <c r="AR92" s="9"/>
      <c r="AS92" s="9"/>
      <c r="AT92" s="9"/>
      <c r="AU92" s="8"/>
      <c r="AV92" s="9"/>
      <c r="AW92" s="8"/>
      <c r="AX92" s="9"/>
      <c r="AY92" s="8"/>
      <c r="AZ92" s="9"/>
      <c r="BA92" s="9"/>
      <c r="BB92" s="10"/>
    </row>
    <row r="93" spans="1:54" s="275" customFormat="1" x14ac:dyDescent="0.2">
      <c r="A93" s="260" t="s">
        <v>208</v>
      </c>
      <c r="B93" s="257"/>
      <c r="C93" s="259"/>
      <c r="D93" s="8"/>
      <c r="E93" s="9"/>
      <c r="F93" s="9"/>
      <c r="G93" s="9"/>
      <c r="H93" s="9"/>
      <c r="I93" s="9"/>
      <c r="J93" s="9"/>
      <c r="K93" s="9"/>
      <c r="L93" s="9"/>
      <c r="M93" s="9"/>
      <c r="N93" s="9"/>
      <c r="O93" s="9"/>
      <c r="P93" s="9"/>
      <c r="Q93" s="9"/>
      <c r="R93" s="9"/>
      <c r="S93" s="9"/>
      <c r="T93" s="9"/>
      <c r="U93" s="8"/>
      <c r="V93" s="9"/>
      <c r="W93" s="8"/>
      <c r="X93" s="9"/>
      <c r="Y93" s="259"/>
      <c r="Z93" s="259"/>
      <c r="AA93" s="259"/>
      <c r="AB93" s="259"/>
      <c r="AC93" s="259"/>
      <c r="AD93" s="259"/>
      <c r="AE93" s="8"/>
      <c r="AF93" s="9"/>
      <c r="AG93" s="9"/>
      <c r="AH93" s="9"/>
      <c r="AI93" s="9"/>
      <c r="AJ93" s="8"/>
      <c r="AK93" s="9"/>
      <c r="AL93" s="8"/>
      <c r="AM93" s="9"/>
      <c r="AN93" s="8"/>
      <c r="AO93" s="9"/>
      <c r="AP93" s="9"/>
      <c r="AQ93" s="8"/>
      <c r="AR93" s="9"/>
      <c r="AS93" s="9"/>
      <c r="AT93" s="9"/>
      <c r="AU93" s="8"/>
      <c r="AV93" s="9"/>
      <c r="AW93" s="8"/>
      <c r="AX93" s="9"/>
      <c r="AY93" s="8"/>
      <c r="AZ93" s="9"/>
      <c r="BA93" s="9"/>
      <c r="BB93" s="10"/>
    </row>
    <row r="94" spans="1:54" s="275" customFormat="1" x14ac:dyDescent="0.2">
      <c r="A94" s="255" t="s">
        <v>209</v>
      </c>
      <c r="B94" s="257"/>
      <c r="C94" s="259"/>
      <c r="D94" s="8"/>
      <c r="E94" s="9"/>
      <c r="F94" s="9"/>
      <c r="G94" s="9"/>
      <c r="H94" s="9"/>
      <c r="I94" s="9"/>
      <c r="J94" s="9"/>
      <c r="K94" s="9"/>
      <c r="L94" s="9"/>
      <c r="M94" s="9"/>
      <c r="N94" s="9"/>
      <c r="O94" s="9"/>
      <c r="P94" s="9"/>
      <c r="Q94" s="9"/>
      <c r="R94" s="9"/>
      <c r="S94" s="9"/>
      <c r="T94" s="9"/>
      <c r="U94" s="8"/>
      <c r="V94" s="9"/>
      <c r="W94" s="8"/>
      <c r="X94" s="9"/>
      <c r="Y94" s="259"/>
      <c r="Z94" s="259"/>
      <c r="AA94" s="259"/>
      <c r="AB94" s="259"/>
      <c r="AC94" s="259"/>
      <c r="AD94" s="259"/>
      <c r="AE94" s="8"/>
      <c r="AF94" s="9"/>
      <c r="AG94" s="9"/>
      <c r="AH94" s="9"/>
      <c r="AI94" s="9"/>
      <c r="AJ94" s="8"/>
      <c r="AK94" s="9"/>
      <c r="AL94" s="8"/>
      <c r="AM94" s="9"/>
      <c r="AN94" s="8"/>
      <c r="AO94" s="9"/>
      <c r="AP94" s="9"/>
      <c r="AQ94" s="8"/>
      <c r="AR94" s="9"/>
      <c r="AS94" s="9"/>
      <c r="AT94" s="9"/>
      <c r="AU94" s="8"/>
      <c r="AV94" s="9"/>
      <c r="AW94" s="8"/>
      <c r="AX94" s="9"/>
      <c r="AY94" s="8"/>
      <c r="AZ94" s="9"/>
      <c r="BA94" s="9"/>
      <c r="BB94" s="10"/>
    </row>
    <row r="95" spans="1:54" s="275" customFormat="1" ht="15" x14ac:dyDescent="0.25">
      <c r="A95" s="281" t="s">
        <v>225</v>
      </c>
      <c r="B95" s="257"/>
      <c r="C95" s="259"/>
      <c r="D95" s="8"/>
      <c r="E95" s="9"/>
      <c r="F95" s="9"/>
      <c r="G95" s="9"/>
      <c r="H95" s="9"/>
      <c r="I95" s="9"/>
      <c r="J95" s="9"/>
      <c r="K95" s="9"/>
      <c r="L95" s="9"/>
      <c r="M95" s="9"/>
      <c r="N95" s="9"/>
      <c r="O95" s="9"/>
      <c r="P95" s="9"/>
      <c r="Q95" s="9"/>
      <c r="R95" s="9"/>
      <c r="S95" s="9"/>
      <c r="T95" s="9"/>
      <c r="U95" s="8"/>
      <c r="V95" s="9"/>
      <c r="W95" s="8"/>
      <c r="X95" s="9"/>
      <c r="Y95" s="259"/>
      <c r="Z95" s="259"/>
      <c r="AA95" s="259"/>
      <c r="AB95" s="259"/>
      <c r="AC95" s="259"/>
      <c r="AD95" s="259"/>
      <c r="AE95" s="8"/>
      <c r="AF95" s="9"/>
      <c r="AG95" s="9"/>
      <c r="AH95" s="9"/>
      <c r="AI95" s="9"/>
      <c r="AJ95" s="8"/>
      <c r="AK95" s="9"/>
      <c r="AL95" s="8"/>
      <c r="AM95" s="9"/>
      <c r="AN95" s="8"/>
      <c r="AO95" s="9"/>
      <c r="AP95" s="9"/>
      <c r="AQ95" s="8"/>
      <c r="AR95" s="9"/>
      <c r="AS95" s="9"/>
      <c r="AT95" s="9"/>
      <c r="AU95" s="8"/>
      <c r="AV95" s="9"/>
      <c r="AW95" s="8"/>
      <c r="AX95" s="9"/>
      <c r="AY95" s="8"/>
      <c r="AZ95" s="9"/>
      <c r="BA95" s="9"/>
      <c r="BB95" s="10"/>
    </row>
    <row r="96" spans="1:54" s="275" customFormat="1" x14ac:dyDescent="0.2">
      <c r="A96" s="261" t="s">
        <v>165</v>
      </c>
      <c r="B96" s="262"/>
      <c r="C96" s="262"/>
      <c r="D96" s="11"/>
      <c r="E96" s="12"/>
      <c r="F96" s="12"/>
      <c r="G96" s="12"/>
      <c r="H96" s="12"/>
      <c r="I96" s="12"/>
      <c r="J96" s="12"/>
      <c r="K96" s="12"/>
      <c r="L96" s="12"/>
      <c r="M96" s="12"/>
      <c r="N96" s="12"/>
      <c r="O96" s="12"/>
      <c r="P96" s="12"/>
      <c r="Q96" s="12"/>
      <c r="R96" s="12"/>
      <c r="S96" s="12"/>
      <c r="T96" s="12"/>
      <c r="U96" s="11"/>
      <c r="V96" s="12"/>
      <c r="W96" s="11"/>
      <c r="X96" s="12"/>
      <c r="Y96" s="262"/>
      <c r="Z96" s="262"/>
      <c r="AA96" s="262"/>
      <c r="AB96" s="262"/>
      <c r="AC96" s="262"/>
      <c r="AD96" s="262"/>
      <c r="AE96" s="11"/>
      <c r="AF96" s="12"/>
      <c r="AG96" s="12"/>
      <c r="AH96" s="12"/>
      <c r="AI96" s="12"/>
      <c r="AJ96" s="11"/>
      <c r="AK96" s="12"/>
      <c r="AL96" s="11"/>
      <c r="AM96" s="12"/>
      <c r="AN96" s="11"/>
      <c r="AO96" s="12"/>
      <c r="AP96" s="12"/>
      <c r="AQ96" s="11"/>
      <c r="AR96" s="12"/>
      <c r="AS96" s="12"/>
      <c r="AT96" s="12"/>
      <c r="AU96" s="11"/>
      <c r="AV96" s="12"/>
      <c r="AW96" s="11"/>
      <c r="AX96" s="12"/>
      <c r="AY96" s="11"/>
      <c r="AZ96" s="12"/>
      <c r="BA96" s="12"/>
      <c r="BB96" s="13"/>
    </row>
    <row r="97" spans="1:54" s="275" customFormat="1" x14ac:dyDescent="0.2">
      <c r="A97" s="255" t="s">
        <v>180</v>
      </c>
      <c r="B97" s="259"/>
      <c r="C97" s="259"/>
      <c r="D97" s="8"/>
      <c r="E97" s="9"/>
      <c r="F97" s="9"/>
      <c r="G97" s="9"/>
      <c r="H97" s="9"/>
      <c r="I97" s="9"/>
      <c r="J97" s="9"/>
      <c r="K97" s="9"/>
      <c r="L97" s="9"/>
      <c r="M97" s="9"/>
      <c r="N97" s="9"/>
      <c r="O97" s="9"/>
      <c r="P97" s="9"/>
      <c r="Q97" s="9"/>
      <c r="R97" s="9"/>
      <c r="S97" s="9"/>
      <c r="T97" s="9"/>
      <c r="U97" s="8"/>
      <c r="V97" s="9"/>
      <c r="W97" s="8"/>
      <c r="X97" s="9"/>
      <c r="Y97" s="259"/>
      <c r="Z97" s="259"/>
      <c r="AA97" s="259"/>
      <c r="AB97" s="259"/>
      <c r="AC97" s="259"/>
      <c r="AD97" s="259"/>
      <c r="AE97" s="8"/>
      <c r="AF97" s="9"/>
      <c r="AG97" s="9"/>
      <c r="AH97" s="9"/>
      <c r="AI97" s="9"/>
      <c r="AJ97" s="8"/>
      <c r="AK97" s="9"/>
      <c r="AL97" s="8"/>
      <c r="AM97" s="9"/>
      <c r="AN97" s="8"/>
      <c r="AO97" s="9"/>
      <c r="AP97" s="9"/>
      <c r="AQ97" s="8"/>
      <c r="AR97" s="9"/>
      <c r="AS97" s="9"/>
      <c r="AT97" s="9"/>
      <c r="AU97" s="8"/>
      <c r="AV97" s="9"/>
      <c r="AW97" s="8"/>
      <c r="AX97" s="9"/>
      <c r="AY97" s="8"/>
      <c r="AZ97" s="9"/>
      <c r="BA97" s="9"/>
      <c r="BB97" s="10"/>
    </row>
    <row r="98" spans="1:54" s="275" customFormat="1" x14ac:dyDescent="0.2">
      <c r="A98" s="263" t="s">
        <v>166</v>
      </c>
      <c r="B98" s="262"/>
      <c r="C98" s="262"/>
      <c r="D98" s="11"/>
      <c r="E98" s="12"/>
      <c r="F98" s="12"/>
      <c r="G98" s="12"/>
      <c r="H98" s="12"/>
      <c r="I98" s="12"/>
      <c r="J98" s="12"/>
      <c r="K98" s="12"/>
      <c r="L98" s="12"/>
      <c r="M98" s="12"/>
      <c r="N98" s="12"/>
      <c r="O98" s="12"/>
      <c r="P98" s="12"/>
      <c r="Q98" s="12"/>
      <c r="R98" s="12"/>
      <c r="S98" s="12"/>
      <c r="T98" s="12"/>
      <c r="U98" s="11"/>
      <c r="V98" s="12"/>
      <c r="W98" s="11"/>
      <c r="X98" s="12"/>
      <c r="Y98" s="262"/>
      <c r="Z98" s="262"/>
      <c r="AA98" s="262"/>
      <c r="AB98" s="262"/>
      <c r="AC98" s="262"/>
      <c r="AD98" s="262"/>
      <c r="AE98" s="11"/>
      <c r="AF98" s="12"/>
      <c r="AG98" s="12"/>
      <c r="AH98" s="12"/>
      <c r="AI98" s="12"/>
      <c r="AJ98" s="11"/>
      <c r="AK98" s="12"/>
      <c r="AL98" s="11"/>
      <c r="AM98" s="12"/>
      <c r="AN98" s="11"/>
      <c r="AO98" s="12"/>
      <c r="AP98" s="12"/>
      <c r="AQ98" s="11"/>
      <c r="AR98" s="12"/>
      <c r="AS98" s="12"/>
      <c r="AT98" s="12"/>
      <c r="AU98" s="11"/>
      <c r="AV98" s="12"/>
      <c r="AW98" s="11"/>
      <c r="AX98" s="12"/>
      <c r="AY98" s="11"/>
      <c r="AZ98" s="12"/>
      <c r="BA98" s="12"/>
      <c r="BB98" s="13"/>
    </row>
    <row r="99" spans="1:54" s="282" customFormat="1" x14ac:dyDescent="0.2">
      <c r="A99" s="264" t="s">
        <v>173</v>
      </c>
      <c r="B99" s="265"/>
      <c r="C99" s="265"/>
      <c r="D99" s="178"/>
      <c r="E99" s="179"/>
      <c r="F99" s="178"/>
      <c r="G99" s="179"/>
      <c r="H99" s="178"/>
      <c r="I99" s="179"/>
      <c r="J99" s="179"/>
      <c r="K99" s="179"/>
      <c r="L99" s="179"/>
      <c r="M99" s="179"/>
      <c r="N99" s="179"/>
      <c r="O99" s="179"/>
      <c r="P99" s="179"/>
      <c r="Q99" s="178"/>
      <c r="R99" s="179"/>
      <c r="S99" s="179"/>
      <c r="T99" s="179"/>
      <c r="U99" s="178"/>
      <c r="V99" s="179"/>
      <c r="W99" s="178"/>
      <c r="X99" s="179"/>
      <c r="Y99" s="265"/>
      <c r="Z99" s="265"/>
      <c r="AA99" s="265"/>
      <c r="AB99" s="265"/>
      <c r="AC99" s="265"/>
      <c r="AD99" s="265"/>
      <c r="AE99" s="178"/>
      <c r="AF99" s="179"/>
      <c r="AG99" s="179"/>
      <c r="AH99" s="179"/>
      <c r="AI99" s="179"/>
      <c r="AJ99" s="178"/>
      <c r="AK99" s="179"/>
      <c r="AL99" s="178"/>
      <c r="AM99" s="179"/>
      <c r="AN99" s="178"/>
      <c r="AO99" s="179"/>
      <c r="AP99" s="179"/>
      <c r="AQ99" s="178"/>
      <c r="AR99" s="179"/>
      <c r="AS99" s="179"/>
      <c r="AT99" s="179"/>
      <c r="AU99" s="178"/>
      <c r="AV99" s="179"/>
      <c r="AW99" s="178"/>
      <c r="AX99" s="179"/>
      <c r="AY99" s="178"/>
      <c r="AZ99" s="179"/>
      <c r="BA99" s="179"/>
      <c r="BB99" s="180"/>
    </row>
    <row r="100" spans="1:54" s="282" customFormat="1" x14ac:dyDescent="0.2">
      <c r="A100" s="266" t="s">
        <v>174</v>
      </c>
      <c r="B100" s="265"/>
      <c r="C100" s="265"/>
      <c r="D100" s="178"/>
      <c r="E100" s="179"/>
      <c r="F100" s="178"/>
      <c r="G100" s="179"/>
      <c r="H100" s="178"/>
      <c r="I100" s="179"/>
      <c r="J100" s="179"/>
      <c r="K100" s="179"/>
      <c r="L100" s="179"/>
      <c r="M100" s="179"/>
      <c r="N100" s="179"/>
      <c r="O100" s="179"/>
      <c r="P100" s="179"/>
      <c r="Q100" s="178"/>
      <c r="R100" s="179"/>
      <c r="S100" s="179"/>
      <c r="T100" s="179"/>
      <c r="U100" s="178"/>
      <c r="V100" s="179"/>
      <c r="W100" s="178"/>
      <c r="X100" s="179"/>
      <c r="Y100" s="265"/>
      <c r="Z100" s="265"/>
      <c r="AA100" s="265"/>
      <c r="AB100" s="265"/>
      <c r="AC100" s="265"/>
      <c r="AD100" s="265"/>
      <c r="AE100" s="178"/>
      <c r="AF100" s="179"/>
      <c r="AG100" s="179"/>
      <c r="AH100" s="179"/>
      <c r="AI100" s="179"/>
      <c r="AJ100" s="178"/>
      <c r="AK100" s="179"/>
      <c r="AL100" s="178"/>
      <c r="AM100" s="179"/>
      <c r="AN100" s="178"/>
      <c r="AO100" s="179"/>
      <c r="AP100" s="179"/>
      <c r="AQ100" s="178"/>
      <c r="AR100" s="179"/>
      <c r="AS100" s="179"/>
      <c r="AT100" s="179"/>
      <c r="AU100" s="178"/>
      <c r="AV100" s="179"/>
      <c r="AW100" s="178"/>
      <c r="AX100" s="179"/>
      <c r="AY100" s="178"/>
      <c r="AZ100" s="179"/>
      <c r="BA100" s="179"/>
      <c r="BB100" s="180"/>
    </row>
    <row r="101" spans="1:54" s="282" customFormat="1" x14ac:dyDescent="0.2">
      <c r="A101" s="283" t="s">
        <v>227</v>
      </c>
      <c r="B101" s="265"/>
      <c r="C101" s="265"/>
      <c r="D101" s="178"/>
      <c r="E101" s="179"/>
      <c r="F101" s="178"/>
      <c r="G101" s="179"/>
      <c r="H101" s="178"/>
      <c r="I101" s="179"/>
      <c r="J101" s="179"/>
      <c r="K101" s="179"/>
      <c r="L101" s="179"/>
      <c r="M101" s="179"/>
      <c r="N101" s="179"/>
      <c r="O101" s="179"/>
      <c r="P101" s="179"/>
      <c r="Q101" s="178"/>
      <c r="R101" s="179"/>
      <c r="S101" s="179"/>
      <c r="T101" s="179"/>
      <c r="U101" s="178"/>
      <c r="V101" s="179"/>
      <c r="W101" s="178"/>
      <c r="X101" s="179"/>
      <c r="Y101" s="265"/>
      <c r="Z101" s="265"/>
      <c r="AA101" s="265"/>
      <c r="AB101" s="265"/>
      <c r="AC101" s="265"/>
      <c r="AD101" s="265"/>
      <c r="AE101" s="178"/>
      <c r="AF101" s="179"/>
      <c r="AG101" s="179"/>
      <c r="AH101" s="179"/>
      <c r="AI101" s="179"/>
      <c r="AJ101" s="178"/>
      <c r="AK101" s="179"/>
      <c r="AL101" s="178"/>
      <c r="AM101" s="179"/>
      <c r="AN101" s="178"/>
      <c r="AO101" s="179"/>
      <c r="AP101" s="179"/>
      <c r="AQ101" s="178"/>
      <c r="AR101" s="179"/>
      <c r="AS101" s="179"/>
      <c r="AT101" s="179"/>
      <c r="AU101" s="178"/>
      <c r="AV101" s="179"/>
      <c r="AW101" s="178"/>
      <c r="AX101" s="179"/>
      <c r="AY101" s="178"/>
      <c r="AZ101" s="179"/>
      <c r="BA101" s="179"/>
      <c r="BB101" s="180"/>
    </row>
    <row r="102" spans="1:54" s="289" customFormat="1" x14ac:dyDescent="0.2">
      <c r="A102" s="284" t="s">
        <v>226</v>
      </c>
      <c r="B102" s="285"/>
      <c r="C102" s="285"/>
      <c r="D102" s="286"/>
      <c r="E102" s="287"/>
      <c r="F102" s="286"/>
      <c r="G102" s="287"/>
      <c r="H102" s="286"/>
      <c r="I102" s="287"/>
      <c r="J102" s="287"/>
      <c r="K102" s="287"/>
      <c r="L102" s="287"/>
      <c r="M102" s="287"/>
      <c r="N102" s="287"/>
      <c r="O102" s="287"/>
      <c r="P102" s="287"/>
      <c r="Q102" s="286"/>
      <c r="R102" s="287"/>
      <c r="S102" s="287"/>
      <c r="T102" s="287"/>
      <c r="U102" s="286"/>
      <c r="V102" s="287"/>
      <c r="W102" s="286"/>
      <c r="X102" s="287"/>
      <c r="Y102" s="285"/>
      <c r="Z102" s="285"/>
      <c r="AA102" s="285"/>
      <c r="AB102" s="285"/>
      <c r="AC102" s="285"/>
      <c r="AD102" s="285"/>
      <c r="AE102" s="286"/>
      <c r="AF102" s="287"/>
      <c r="AG102" s="287"/>
      <c r="AH102" s="287"/>
      <c r="AI102" s="287"/>
      <c r="AJ102" s="286"/>
      <c r="AK102" s="287"/>
      <c r="AL102" s="286"/>
      <c r="AM102" s="287"/>
      <c r="AN102" s="286"/>
      <c r="AO102" s="287"/>
      <c r="AP102" s="287"/>
      <c r="AQ102" s="286"/>
      <c r="AR102" s="287"/>
      <c r="AS102" s="287"/>
      <c r="AT102" s="287"/>
      <c r="AU102" s="286"/>
      <c r="AV102" s="287"/>
      <c r="AW102" s="286"/>
      <c r="AX102" s="287"/>
      <c r="AY102" s="286"/>
      <c r="AZ102" s="287"/>
      <c r="BA102" s="287"/>
      <c r="BB102" s="288"/>
    </row>
    <row r="103" spans="1:54" s="282" customFormat="1" x14ac:dyDescent="0.2">
      <c r="A103" s="290" t="s">
        <v>210</v>
      </c>
      <c r="B103" s="265"/>
      <c r="C103" s="265"/>
      <c r="D103" s="178"/>
      <c r="E103" s="179"/>
      <c r="F103" s="178"/>
      <c r="G103" s="179"/>
      <c r="H103" s="178"/>
      <c r="I103" s="179"/>
      <c r="J103" s="179"/>
      <c r="K103" s="179"/>
      <c r="L103" s="179"/>
      <c r="M103" s="179"/>
      <c r="N103" s="179"/>
      <c r="O103" s="179"/>
      <c r="P103" s="179"/>
      <c r="Q103" s="178"/>
      <c r="R103" s="179"/>
      <c r="S103" s="179"/>
      <c r="T103" s="179"/>
      <c r="U103" s="178"/>
      <c r="V103" s="179"/>
      <c r="W103" s="178"/>
      <c r="X103" s="179"/>
      <c r="Y103" s="265"/>
      <c r="Z103" s="265"/>
      <c r="AA103" s="265"/>
      <c r="AB103" s="265"/>
      <c r="AC103" s="265"/>
      <c r="AD103" s="265"/>
      <c r="AE103" s="178"/>
      <c r="AF103" s="179"/>
      <c r="AG103" s="179"/>
      <c r="AH103" s="179"/>
      <c r="AI103" s="179"/>
      <c r="AJ103" s="178"/>
      <c r="AK103" s="179"/>
      <c r="AL103" s="178"/>
      <c r="AM103" s="179"/>
      <c r="AN103" s="178"/>
      <c r="AO103" s="179"/>
      <c r="AP103" s="179"/>
      <c r="AQ103" s="178"/>
      <c r="AR103" s="179"/>
      <c r="AS103" s="179"/>
      <c r="AT103" s="179"/>
      <c r="AU103" s="178"/>
      <c r="AV103" s="179"/>
      <c r="AW103" s="178"/>
      <c r="AX103" s="179"/>
      <c r="AY103" s="178"/>
      <c r="AZ103" s="179"/>
      <c r="BA103" s="179"/>
      <c r="BB103" s="180"/>
    </row>
    <row r="104" spans="1:54" s="291" customFormat="1" x14ac:dyDescent="0.2">
      <c r="A104" s="261"/>
      <c r="B104" s="262"/>
      <c r="C104" s="262"/>
      <c r="D104" s="11"/>
      <c r="E104" s="12"/>
      <c r="F104" s="11"/>
      <c r="G104" s="12"/>
      <c r="H104" s="11"/>
      <c r="I104" s="12"/>
      <c r="J104" s="12"/>
      <c r="K104" s="12"/>
      <c r="L104" s="12"/>
      <c r="M104" s="12"/>
      <c r="N104" s="12"/>
      <c r="O104" s="12"/>
      <c r="P104" s="12"/>
      <c r="Q104" s="11"/>
      <c r="R104" s="12"/>
      <c r="S104" s="12"/>
      <c r="T104" s="12"/>
      <c r="U104" s="11"/>
      <c r="V104" s="12"/>
      <c r="W104" s="11"/>
      <c r="X104" s="12"/>
      <c r="Y104" s="262"/>
      <c r="Z104" s="262"/>
      <c r="AA104" s="262"/>
      <c r="AB104" s="262"/>
      <c r="AC104" s="262"/>
      <c r="AD104" s="262"/>
      <c r="AE104" s="11"/>
      <c r="AF104" s="12"/>
      <c r="AG104" s="12"/>
      <c r="AH104" s="12"/>
      <c r="AI104" s="12"/>
      <c r="AJ104" s="11"/>
      <c r="AK104" s="12"/>
      <c r="AL104" s="11"/>
      <c r="AM104" s="12"/>
      <c r="AN104" s="11"/>
      <c r="AO104" s="12"/>
      <c r="AP104" s="12"/>
      <c r="AQ104" s="11"/>
      <c r="AR104" s="12"/>
      <c r="AS104" s="12"/>
      <c r="AT104" s="12"/>
      <c r="AU104" s="11"/>
      <c r="AV104" s="12"/>
      <c r="AW104" s="11"/>
      <c r="AX104" s="12"/>
      <c r="AY104" s="11"/>
      <c r="AZ104" s="12"/>
      <c r="BA104" s="12"/>
      <c r="BB104" s="13"/>
    </row>
    <row r="105" spans="1:54" s="291" customFormat="1" x14ac:dyDescent="0.2">
      <c r="A105" s="314" t="s">
        <v>63</v>
      </c>
      <c r="B105" s="315"/>
      <c r="C105" s="316"/>
      <c r="D105" s="317"/>
      <c r="E105" s="318"/>
      <c r="F105" s="317"/>
      <c r="G105" s="318"/>
      <c r="H105" s="317"/>
      <c r="I105" s="318"/>
      <c r="J105" s="318"/>
      <c r="K105" s="318"/>
      <c r="L105" s="318"/>
      <c r="M105" s="318"/>
      <c r="N105" s="318"/>
      <c r="O105" s="318"/>
      <c r="P105" s="318"/>
      <c r="Q105" s="317"/>
      <c r="R105" s="318"/>
      <c r="S105" s="318"/>
      <c r="T105" s="318"/>
      <c r="U105" s="317"/>
      <c r="V105" s="318"/>
      <c r="W105" s="317"/>
      <c r="X105" s="318"/>
      <c r="Y105" s="315"/>
      <c r="Z105" s="315"/>
      <c r="AA105" s="315"/>
      <c r="AB105" s="315"/>
      <c r="AC105" s="315"/>
      <c r="AD105" s="315"/>
      <c r="AE105" s="317"/>
      <c r="AF105" s="318"/>
      <c r="AG105" s="318"/>
      <c r="AH105" s="318"/>
      <c r="AI105" s="318"/>
      <c r="AJ105" s="317"/>
      <c r="AK105" s="318"/>
      <c r="AL105" s="317"/>
      <c r="AM105" s="318"/>
      <c r="AN105" s="317"/>
      <c r="AO105" s="318"/>
      <c r="AP105" s="318"/>
      <c r="AQ105" s="317"/>
      <c r="AR105" s="318"/>
      <c r="AS105" s="318"/>
      <c r="AT105" s="318"/>
      <c r="AU105" s="317"/>
      <c r="AV105" s="318"/>
      <c r="AW105" s="317"/>
      <c r="AX105" s="318"/>
      <c r="AY105" s="317"/>
      <c r="AZ105" s="318"/>
      <c r="BA105" s="318"/>
      <c r="BB105" s="319"/>
    </row>
    <row r="106" spans="1:54" s="275" customFormat="1" x14ac:dyDescent="0.2">
      <c r="A106" s="320" t="s">
        <v>66</v>
      </c>
      <c r="B106" s="321"/>
      <c r="C106" s="321"/>
      <c r="D106" s="321"/>
      <c r="E106" s="321"/>
      <c r="F106" s="322"/>
      <c r="G106" s="321"/>
      <c r="H106" s="322"/>
      <c r="I106" s="321"/>
      <c r="J106" s="321"/>
      <c r="K106" s="321"/>
      <c r="L106" s="321"/>
      <c r="M106" s="321"/>
      <c r="N106" s="321"/>
      <c r="O106" s="321"/>
      <c r="P106" s="321"/>
      <c r="Q106" s="322"/>
      <c r="R106" s="321"/>
      <c r="S106" s="321"/>
      <c r="T106" s="321"/>
      <c r="U106" s="321"/>
      <c r="V106" s="321"/>
      <c r="W106" s="321"/>
      <c r="X106" s="321"/>
      <c r="Y106" s="321"/>
      <c r="Z106" s="321"/>
      <c r="AA106" s="321"/>
      <c r="AB106" s="321"/>
      <c r="AC106" s="321"/>
      <c r="AD106" s="321"/>
      <c r="AE106" s="321"/>
      <c r="AF106" s="321"/>
      <c r="AG106" s="321"/>
      <c r="AH106" s="321"/>
      <c r="AI106" s="321"/>
      <c r="AJ106" s="323"/>
      <c r="AK106" s="321"/>
      <c r="AL106" s="323"/>
      <c r="AM106" s="321"/>
      <c r="AN106" s="322"/>
      <c r="AO106" s="321"/>
      <c r="AP106" s="321"/>
      <c r="AQ106" s="322"/>
      <c r="AR106" s="321"/>
      <c r="AS106" s="321"/>
      <c r="AT106" s="321"/>
      <c r="AU106" s="322"/>
      <c r="AV106" s="321"/>
      <c r="AW106" s="324"/>
      <c r="AX106" s="321"/>
      <c r="AY106" s="322"/>
      <c r="AZ106" s="325"/>
      <c r="BA106" s="321"/>
      <c r="BB106" s="326"/>
    </row>
    <row r="107" spans="1:54" s="275" customFormat="1" x14ac:dyDescent="0.2">
      <c r="A107" s="327"/>
      <c r="B107" s="328"/>
      <c r="C107" s="329"/>
      <c r="D107" s="330"/>
      <c r="E107" s="331"/>
      <c r="F107" s="330"/>
      <c r="G107" s="331"/>
      <c r="H107" s="330"/>
      <c r="I107" s="331"/>
      <c r="J107" s="331"/>
      <c r="K107" s="331"/>
      <c r="L107" s="331"/>
      <c r="M107" s="331"/>
      <c r="N107" s="331"/>
      <c r="O107" s="331"/>
      <c r="P107" s="331"/>
      <c r="Q107" s="330"/>
      <c r="R107" s="331"/>
      <c r="S107" s="331"/>
      <c r="T107" s="331"/>
      <c r="U107" s="330"/>
      <c r="V107" s="331"/>
      <c r="W107" s="330"/>
      <c r="X107" s="331"/>
      <c r="Y107" s="328"/>
      <c r="Z107" s="328"/>
      <c r="AA107" s="328"/>
      <c r="AB107" s="328"/>
      <c r="AC107" s="328"/>
      <c r="AD107" s="328"/>
      <c r="AE107" s="330"/>
      <c r="AF107" s="331"/>
      <c r="AG107" s="331"/>
      <c r="AH107" s="331"/>
      <c r="AI107" s="331"/>
      <c r="AJ107" s="330"/>
      <c r="AK107" s="331"/>
      <c r="AL107" s="330"/>
      <c r="AM107" s="331"/>
      <c r="AN107" s="330"/>
      <c r="AO107" s="331"/>
      <c r="AP107" s="331"/>
      <c r="AQ107" s="330"/>
      <c r="AR107" s="331"/>
      <c r="AS107" s="331"/>
      <c r="AT107" s="331"/>
      <c r="AU107" s="330"/>
      <c r="AV107" s="331"/>
      <c r="AW107" s="330"/>
      <c r="AX107" s="331"/>
      <c r="AY107" s="330"/>
      <c r="AZ107" s="331"/>
      <c r="BA107" s="331"/>
      <c r="BB107" s="332"/>
    </row>
    <row r="108" spans="1:54" s="275" customFormat="1" x14ac:dyDescent="0.2">
      <c r="A108" s="14" t="s">
        <v>68</v>
      </c>
      <c r="B108" s="15"/>
      <c r="C108" s="16"/>
      <c r="D108" s="17"/>
      <c r="E108" s="18"/>
      <c r="F108" s="17"/>
      <c r="G108" s="18"/>
      <c r="H108" s="17"/>
      <c r="I108" s="18"/>
      <c r="J108" s="18"/>
      <c r="K108" s="18"/>
      <c r="L108" s="18"/>
      <c r="M108" s="18"/>
      <c r="N108" s="18"/>
      <c r="O108" s="18"/>
      <c r="P108" s="18"/>
      <c r="Q108" s="17"/>
      <c r="R108" s="18"/>
      <c r="S108" s="18"/>
      <c r="T108" s="18"/>
      <c r="U108" s="17"/>
      <c r="V108" s="18"/>
      <c r="W108" s="17"/>
      <c r="X108" s="18"/>
      <c r="Y108" s="15"/>
      <c r="Z108" s="15"/>
      <c r="AA108" s="15"/>
      <c r="AB108" s="15"/>
      <c r="AC108" s="15"/>
      <c r="AD108" s="15"/>
      <c r="AE108" s="17"/>
      <c r="AF108" s="18"/>
      <c r="AG108" s="18"/>
      <c r="AH108" s="18"/>
      <c r="AI108" s="18"/>
      <c r="AJ108" s="17"/>
      <c r="AK108" s="18"/>
      <c r="AL108" s="17"/>
      <c r="AM108" s="18"/>
      <c r="AN108" s="17"/>
      <c r="AO108" s="18"/>
      <c r="AP108" s="18"/>
      <c r="AQ108" s="17"/>
      <c r="AR108" s="18"/>
      <c r="AS108" s="18"/>
      <c r="AT108" s="18"/>
      <c r="AU108" s="17"/>
      <c r="AV108" s="18"/>
      <c r="AW108" s="17"/>
      <c r="AX108" s="18"/>
      <c r="AY108" s="17"/>
      <c r="AZ108" s="18"/>
      <c r="BA108" s="18"/>
      <c r="BB108" s="19"/>
    </row>
    <row r="109" spans="1:54" s="275" customFormat="1" x14ac:dyDescent="0.2">
      <c r="A109" s="267" t="s">
        <v>69</v>
      </c>
      <c r="B109" s="268"/>
      <c r="C109" s="268"/>
      <c r="D109" s="268"/>
      <c r="E109" s="268"/>
      <c r="F109" s="20"/>
      <c r="G109" s="268"/>
      <c r="H109" s="20"/>
      <c r="I109" s="268"/>
      <c r="J109" s="268"/>
      <c r="K109" s="268"/>
      <c r="L109" s="268"/>
      <c r="M109" s="268"/>
      <c r="N109" s="268"/>
      <c r="O109" s="268"/>
      <c r="P109" s="268"/>
      <c r="Q109" s="20"/>
      <c r="R109" s="268"/>
      <c r="S109" s="268"/>
      <c r="T109" s="268"/>
      <c r="U109" s="268"/>
      <c r="V109" s="268"/>
      <c r="W109" s="268"/>
      <c r="X109" s="268"/>
      <c r="Y109" s="268"/>
      <c r="Z109" s="268"/>
      <c r="AA109" s="268"/>
      <c r="AB109" s="268"/>
      <c r="AC109" s="268"/>
      <c r="AD109" s="268"/>
      <c r="AE109" s="268"/>
      <c r="AF109" s="268"/>
      <c r="AG109" s="268"/>
      <c r="AH109" s="268"/>
      <c r="AI109" s="268"/>
      <c r="AJ109" s="269"/>
      <c r="AK109" s="268"/>
      <c r="AL109" s="269"/>
      <c r="AM109" s="268"/>
      <c r="AN109" s="20"/>
      <c r="AO109" s="268"/>
      <c r="AP109" s="268"/>
      <c r="AQ109" s="20"/>
      <c r="AR109" s="268"/>
      <c r="AS109" s="268"/>
      <c r="AT109" s="268"/>
      <c r="AU109" s="20"/>
      <c r="AV109" s="268"/>
      <c r="AW109" s="313"/>
      <c r="AX109" s="268"/>
      <c r="AY109" s="20"/>
      <c r="AZ109" s="181"/>
      <c r="BA109" s="268"/>
      <c r="BB109" s="21"/>
    </row>
    <row r="110" spans="1:54" s="275" customFormat="1" x14ac:dyDescent="0.2">
      <c r="A110" s="267" t="s">
        <v>70</v>
      </c>
      <c r="B110" s="268"/>
      <c r="C110" s="268"/>
      <c r="D110" s="268"/>
      <c r="E110" s="268"/>
      <c r="F110" s="20"/>
      <c r="G110" s="268"/>
      <c r="H110" s="20"/>
      <c r="I110" s="268"/>
      <c r="J110" s="268"/>
      <c r="K110" s="268"/>
      <c r="L110" s="268"/>
      <c r="M110" s="268"/>
      <c r="N110" s="268"/>
      <c r="O110" s="268"/>
      <c r="P110" s="268"/>
      <c r="Q110" s="20"/>
      <c r="R110" s="268"/>
      <c r="S110" s="268"/>
      <c r="T110" s="268"/>
      <c r="U110" s="268"/>
      <c r="V110" s="268"/>
      <c r="W110" s="268"/>
      <c r="X110" s="268"/>
      <c r="Y110" s="268"/>
      <c r="Z110" s="268"/>
      <c r="AA110" s="268"/>
      <c r="AB110" s="268"/>
      <c r="AC110" s="268"/>
      <c r="AD110" s="268"/>
      <c r="AE110" s="268"/>
      <c r="AF110" s="268"/>
      <c r="AG110" s="268"/>
      <c r="AH110" s="268"/>
      <c r="AI110" s="268"/>
      <c r="AJ110" s="269"/>
      <c r="AK110" s="268"/>
      <c r="AL110" s="269"/>
      <c r="AM110" s="268"/>
      <c r="AN110" s="20"/>
      <c r="AO110" s="268"/>
      <c r="AP110" s="268"/>
      <c r="AQ110" s="20"/>
      <c r="AR110" s="268"/>
      <c r="AS110" s="268"/>
      <c r="AT110" s="268"/>
      <c r="AU110" s="20"/>
      <c r="AV110" s="268"/>
      <c r="AW110" s="313"/>
      <c r="AX110" s="268"/>
      <c r="AY110" s="20"/>
      <c r="AZ110" s="181"/>
      <c r="BA110" s="268"/>
      <c r="BB110" s="21"/>
    </row>
    <row r="111" spans="1:54" s="275" customFormat="1" x14ac:dyDescent="0.2">
      <c r="A111" s="267" t="s">
        <v>71</v>
      </c>
      <c r="B111" s="268"/>
      <c r="C111" s="268"/>
      <c r="D111" s="268"/>
      <c r="E111" s="268"/>
      <c r="F111" s="20"/>
      <c r="G111" s="268"/>
      <c r="H111" s="20"/>
      <c r="I111" s="268"/>
      <c r="J111" s="268"/>
      <c r="K111" s="268"/>
      <c r="L111" s="268"/>
      <c r="M111" s="268"/>
      <c r="N111" s="268"/>
      <c r="O111" s="268"/>
      <c r="P111" s="268"/>
      <c r="Q111" s="20"/>
      <c r="R111" s="268"/>
      <c r="S111" s="268"/>
      <c r="T111" s="268"/>
      <c r="U111" s="268"/>
      <c r="V111" s="268"/>
      <c r="W111" s="268"/>
      <c r="X111" s="268"/>
      <c r="Y111" s="268"/>
      <c r="Z111" s="268"/>
      <c r="AA111" s="268"/>
      <c r="AB111" s="268"/>
      <c r="AC111" s="268"/>
      <c r="AD111" s="268"/>
      <c r="AE111" s="268"/>
      <c r="AF111" s="268"/>
      <c r="AG111" s="268"/>
      <c r="AH111" s="268"/>
      <c r="AI111" s="268"/>
      <c r="AJ111" s="269"/>
      <c r="AK111" s="268"/>
      <c r="AL111" s="269"/>
      <c r="AM111" s="268"/>
      <c r="AN111" s="20"/>
      <c r="AO111" s="268"/>
      <c r="AP111" s="268"/>
      <c r="AQ111" s="20"/>
      <c r="AR111" s="268"/>
      <c r="AS111" s="268"/>
      <c r="AT111" s="268"/>
      <c r="AU111" s="20"/>
      <c r="AV111" s="268"/>
      <c r="AW111" s="313"/>
      <c r="AX111" s="268"/>
      <c r="AY111" s="20"/>
      <c r="AZ111" s="181"/>
      <c r="BA111" s="268"/>
      <c r="BB111" s="21"/>
    </row>
    <row r="112" spans="1:54" s="275" customFormat="1" x14ac:dyDescent="0.2">
      <c r="A112" s="267" t="s">
        <v>72</v>
      </c>
      <c r="B112" s="268"/>
      <c r="C112" s="268"/>
      <c r="D112" s="268"/>
      <c r="E112" s="268"/>
      <c r="F112" s="20"/>
      <c r="G112" s="268"/>
      <c r="H112" s="20"/>
      <c r="I112" s="268"/>
      <c r="J112" s="268"/>
      <c r="K112" s="268"/>
      <c r="L112" s="268"/>
      <c r="M112" s="268"/>
      <c r="N112" s="268"/>
      <c r="O112" s="268"/>
      <c r="P112" s="268"/>
      <c r="Q112" s="20"/>
      <c r="R112" s="268"/>
      <c r="S112" s="268"/>
      <c r="T112" s="268"/>
      <c r="U112" s="268"/>
      <c r="V112" s="268"/>
      <c r="W112" s="268"/>
      <c r="X112" s="268"/>
      <c r="Y112" s="268"/>
      <c r="Z112" s="268"/>
      <c r="AA112" s="268"/>
      <c r="AB112" s="268"/>
      <c r="AC112" s="268"/>
      <c r="AD112" s="268"/>
      <c r="AE112" s="268"/>
      <c r="AF112" s="268"/>
      <c r="AG112" s="268"/>
      <c r="AH112" s="268"/>
      <c r="AI112" s="268"/>
      <c r="AJ112" s="269"/>
      <c r="AK112" s="268"/>
      <c r="AL112" s="269"/>
      <c r="AM112" s="268"/>
      <c r="AN112" s="20"/>
      <c r="AO112" s="268"/>
      <c r="AP112" s="268"/>
      <c r="AQ112" s="20"/>
      <c r="AR112" s="268"/>
      <c r="AS112" s="268"/>
      <c r="AT112" s="268"/>
      <c r="AU112" s="20"/>
      <c r="AV112" s="268"/>
      <c r="AW112" s="313"/>
      <c r="AX112" s="268"/>
      <c r="AY112" s="20"/>
      <c r="AZ112" s="181"/>
      <c r="BA112" s="268"/>
      <c r="BB112" s="21"/>
    </row>
    <row r="113" spans="1:54" s="275" customFormat="1" x14ac:dyDescent="0.2">
      <c r="A113" s="267" t="s">
        <v>73</v>
      </c>
      <c r="B113" s="268"/>
      <c r="C113" s="268"/>
      <c r="D113" s="268"/>
      <c r="E113" s="268"/>
      <c r="F113" s="20"/>
      <c r="G113" s="268"/>
      <c r="H113" s="20"/>
      <c r="I113" s="268"/>
      <c r="J113" s="268"/>
      <c r="K113" s="268"/>
      <c r="L113" s="268"/>
      <c r="M113" s="268"/>
      <c r="N113" s="268"/>
      <c r="O113" s="268"/>
      <c r="P113" s="268"/>
      <c r="Q113" s="20"/>
      <c r="R113" s="268"/>
      <c r="S113" s="268"/>
      <c r="T113" s="268"/>
      <c r="U113" s="268"/>
      <c r="V113" s="268"/>
      <c r="W113" s="268"/>
      <c r="X113" s="268"/>
      <c r="Y113" s="268"/>
      <c r="Z113" s="268"/>
      <c r="AA113" s="268"/>
      <c r="AB113" s="268"/>
      <c r="AC113" s="268"/>
      <c r="AD113" s="268"/>
      <c r="AE113" s="268"/>
      <c r="AF113" s="268"/>
      <c r="AG113" s="268"/>
      <c r="AH113" s="268"/>
      <c r="AI113" s="268"/>
      <c r="AJ113" s="269"/>
      <c r="AK113" s="268"/>
      <c r="AL113" s="269"/>
      <c r="AM113" s="268"/>
      <c r="AN113" s="20"/>
      <c r="AO113" s="268"/>
      <c r="AP113" s="268"/>
      <c r="AQ113" s="20"/>
      <c r="AR113" s="268"/>
      <c r="AS113" s="268"/>
      <c r="AT113" s="268"/>
      <c r="AU113" s="20"/>
      <c r="AV113" s="268"/>
      <c r="AW113" s="313"/>
      <c r="AX113" s="268"/>
      <c r="AY113" s="20"/>
      <c r="AZ113" s="181"/>
      <c r="BA113" s="268"/>
      <c r="BB113" s="21"/>
    </row>
    <row r="114" spans="1:54" s="275" customFormat="1" x14ac:dyDescent="0.2">
      <c r="A114" s="22"/>
      <c r="B114" s="23"/>
      <c r="C114" s="24"/>
      <c r="D114" s="25"/>
      <c r="E114" s="26"/>
      <c r="F114" s="25"/>
      <c r="G114" s="26"/>
      <c r="H114" s="25"/>
      <c r="I114" s="26"/>
      <c r="J114" s="26"/>
      <c r="K114" s="26"/>
      <c r="L114" s="26"/>
      <c r="M114" s="26"/>
      <c r="N114" s="26"/>
      <c r="O114" s="26"/>
      <c r="P114" s="26"/>
      <c r="Q114" s="25"/>
      <c r="R114" s="26"/>
      <c r="S114" s="26"/>
      <c r="T114" s="26"/>
      <c r="U114" s="25"/>
      <c r="V114" s="26"/>
      <c r="W114" s="25"/>
      <c r="X114" s="26"/>
      <c r="Y114" s="23"/>
      <c r="Z114" s="23"/>
      <c r="AA114" s="23"/>
      <c r="AB114" s="23"/>
      <c r="AC114" s="23"/>
      <c r="AD114" s="23"/>
      <c r="AE114" s="25"/>
      <c r="AF114" s="26"/>
      <c r="AG114" s="26"/>
      <c r="AH114" s="26"/>
      <c r="AI114" s="26"/>
      <c r="AJ114" s="25"/>
      <c r="AK114" s="26"/>
      <c r="AL114" s="25"/>
      <c r="AM114" s="26"/>
      <c r="AN114" s="25"/>
      <c r="AO114" s="26"/>
      <c r="AP114" s="26"/>
      <c r="AQ114" s="25"/>
      <c r="AR114" s="26"/>
      <c r="AS114" s="26"/>
      <c r="AT114" s="26"/>
      <c r="AU114" s="25"/>
      <c r="AV114" s="26"/>
      <c r="AW114" s="25"/>
      <c r="AX114" s="26"/>
      <c r="AY114" s="25"/>
      <c r="AZ114" s="26"/>
      <c r="BA114" s="26"/>
      <c r="BB114" s="27"/>
    </row>
  </sheetData>
  <sheetProtection algorithmName="SHA-512" hashValue="1lav2N3PInQ7FTbhDzbbZKZvrYG91NziFCHEIhG4rq78CJU6bedzREM62XLOAYJA6fa+SxmA/z2exyGxux95eg==" saltValue="8nHM+wcPLVOoo1ZC5V+vCQ==" spinCount="100000" sheet="1" formatCells="0" formatColumns="0" formatRows="0"/>
  <sortState xmlns:xlrd2="http://schemas.microsoft.com/office/spreadsheetml/2017/richdata2" ref="A37:BB61">
    <sortCondition ref="A37:A61"/>
  </sortState>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4" fitToWidth="2" fitToHeight="5" orientation="landscape" r:id="rId1"/>
  <headerFooter alignWithMargins="0">
    <oddFooter>Page &amp;P of &amp;N</oddFooter>
  </headerFooter>
  <rowBreaks count="2" manualBreakCount="2">
    <brk id="47" max="51" man="1"/>
    <brk id="62" max="51" man="1"/>
  </rowBreaks>
  <colBreaks count="3" manualBreakCount="3">
    <brk id="16" max="78" man="1"/>
    <brk id="30" max="78" man="1"/>
    <brk id="42" max="78"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zoomScale="80" zoomScaleNormal="80" workbookViewId="0">
      <pane ySplit="3" topLeftCell="A4" activePane="bottomLeft" state="frozen"/>
      <selection pane="bottomLeft" activeCell="A4" sqref="A4"/>
    </sheetView>
  </sheetViews>
  <sheetFormatPr defaultColWidth="11.42578125" defaultRowHeight="15" x14ac:dyDescent="0.25"/>
  <cols>
    <col min="1" max="1" width="33.28515625" style="230" customWidth="1"/>
    <col min="2" max="2" width="5.5703125" style="244" bestFit="1" customWidth="1"/>
    <col min="3" max="3" width="9.85546875" style="245" customWidth="1"/>
    <col min="4" max="4" width="10.28515625" style="245" customWidth="1"/>
    <col min="5" max="5" width="9.42578125" style="245" bestFit="1" customWidth="1"/>
    <col min="6" max="6" width="12.42578125" style="245" customWidth="1"/>
    <col min="7" max="7" width="9.28515625" style="245" customWidth="1"/>
    <col min="8" max="8" width="12.28515625" style="245" customWidth="1"/>
    <col min="9" max="9" width="8.140625" style="245" bestFit="1" customWidth="1"/>
    <col min="10" max="10" width="9.5703125" style="246" customWidth="1"/>
    <col min="11" max="12" width="11.42578125" style="221"/>
    <col min="13" max="13" width="14.85546875" style="247" bestFit="1" customWidth="1"/>
    <col min="14" max="14" width="9.85546875" style="247" bestFit="1" customWidth="1"/>
    <col min="15" max="16" width="9.28515625" style="247" bestFit="1" customWidth="1"/>
    <col min="17" max="19" width="10.7109375" style="247" bestFit="1" customWidth="1"/>
    <col min="20" max="16384" width="11.42578125" style="232"/>
  </cols>
  <sheetData>
    <row r="1" spans="1:19" s="230" customFormat="1" ht="45" x14ac:dyDescent="0.25">
      <c r="A1" s="301" t="s">
        <v>175</v>
      </c>
      <c r="B1" s="302"/>
      <c r="C1" s="303">
        <v>1204</v>
      </c>
      <c r="D1" s="302">
        <v>3604</v>
      </c>
      <c r="E1" s="302">
        <v>4076</v>
      </c>
      <c r="F1" s="302">
        <v>3620</v>
      </c>
      <c r="G1" s="303" t="s">
        <v>128</v>
      </c>
      <c r="H1" s="302">
        <v>4561</v>
      </c>
      <c r="I1" s="302" t="s">
        <v>129</v>
      </c>
      <c r="J1" s="304" t="s">
        <v>130</v>
      </c>
      <c r="K1" s="305" t="s">
        <v>131</v>
      </c>
      <c r="L1" s="305" t="s">
        <v>132</v>
      </c>
      <c r="M1" s="304" t="s">
        <v>133</v>
      </c>
      <c r="N1" s="304" t="s">
        <v>134</v>
      </c>
      <c r="O1" s="304" t="s">
        <v>135</v>
      </c>
      <c r="P1" s="304" t="s">
        <v>136</v>
      </c>
      <c r="Q1" s="304" t="s">
        <v>137</v>
      </c>
      <c r="R1" s="304" t="s">
        <v>138</v>
      </c>
      <c r="S1" s="304" t="s">
        <v>167</v>
      </c>
    </row>
    <row r="2" spans="1:19" s="231" customFormat="1" ht="30" x14ac:dyDescent="0.25">
      <c r="A2" s="306" t="s">
        <v>176</v>
      </c>
      <c r="B2" s="307"/>
      <c r="C2" s="308">
        <v>30</v>
      </c>
      <c r="D2" s="307">
        <v>77</v>
      </c>
      <c r="E2" s="307">
        <v>19.100000000000001</v>
      </c>
      <c r="F2" s="307">
        <v>50</v>
      </c>
      <c r="G2" s="308">
        <v>7.5</v>
      </c>
      <c r="H2" s="307" t="s">
        <v>177</v>
      </c>
      <c r="I2" s="307"/>
      <c r="J2" s="238"/>
      <c r="K2" s="304"/>
      <c r="L2" s="304"/>
      <c r="M2" s="304"/>
      <c r="N2" s="304"/>
      <c r="O2" s="304"/>
      <c r="P2" s="304"/>
      <c r="Q2" s="304"/>
      <c r="R2" s="304"/>
      <c r="S2" s="304"/>
    </row>
    <row r="3" spans="1:19" s="230" customFormat="1" x14ac:dyDescent="0.25">
      <c r="A3" s="301"/>
      <c r="B3" s="302"/>
      <c r="C3" s="303" t="s">
        <v>139</v>
      </c>
      <c r="D3" s="302" t="s">
        <v>140</v>
      </c>
      <c r="E3" s="302" t="s">
        <v>141</v>
      </c>
      <c r="F3" s="302" t="s">
        <v>142</v>
      </c>
      <c r="G3" s="303"/>
      <c r="H3" s="302" t="s">
        <v>143</v>
      </c>
      <c r="I3" s="302"/>
      <c r="J3" s="309"/>
      <c r="K3" s="305"/>
      <c r="L3" s="305"/>
      <c r="M3" s="304"/>
      <c r="N3" s="304"/>
      <c r="O3" s="304"/>
      <c r="P3" s="304"/>
      <c r="Q3" s="304"/>
      <c r="R3" s="304"/>
      <c r="S3" s="304"/>
    </row>
    <row r="4" spans="1:19" x14ac:dyDescent="0.25">
      <c r="A4" s="209" t="s">
        <v>144</v>
      </c>
      <c r="B4" s="210">
        <v>2021</v>
      </c>
      <c r="C4" s="211">
        <v>15.154999999999999</v>
      </c>
      <c r="D4" s="211">
        <v>21.47</v>
      </c>
      <c r="E4" s="211">
        <v>17.52</v>
      </c>
      <c r="F4" s="211">
        <v>14.445</v>
      </c>
      <c r="G4" s="211"/>
      <c r="H4" s="211">
        <v>20.202000000000002</v>
      </c>
      <c r="I4" s="211"/>
      <c r="J4" s="212"/>
      <c r="K4" s="211"/>
      <c r="L4" s="211"/>
      <c r="M4" s="213"/>
      <c r="N4" s="213"/>
      <c r="O4" s="213"/>
      <c r="P4" s="213"/>
      <c r="Q4" s="213"/>
      <c r="R4" s="213"/>
      <c r="S4" s="213"/>
    </row>
    <row r="5" spans="1:19" x14ac:dyDescent="0.25">
      <c r="A5" s="233" t="s">
        <v>144</v>
      </c>
      <c r="B5" s="234">
        <v>2022</v>
      </c>
      <c r="C5" s="214">
        <v>15.792</v>
      </c>
      <c r="D5" s="214">
        <v>22.372</v>
      </c>
      <c r="E5" s="214">
        <v>18.256</v>
      </c>
      <c r="F5" s="214">
        <v>15.052</v>
      </c>
      <c r="G5" s="214"/>
      <c r="H5" s="214">
        <v>21.05</v>
      </c>
      <c r="I5" s="214"/>
      <c r="J5" s="215"/>
      <c r="K5" s="214"/>
      <c r="L5" s="214"/>
      <c r="M5" s="216"/>
      <c r="N5" s="216"/>
      <c r="O5" s="216"/>
      <c r="P5" s="216"/>
      <c r="Q5" s="216"/>
      <c r="R5" s="216"/>
      <c r="S5" s="216"/>
    </row>
    <row r="6" spans="1:19" x14ac:dyDescent="0.25">
      <c r="A6" s="209" t="s">
        <v>168</v>
      </c>
      <c r="B6" s="210">
        <v>2021</v>
      </c>
      <c r="C6" s="211">
        <v>14.91</v>
      </c>
      <c r="D6" s="211">
        <v>21.2</v>
      </c>
      <c r="E6" s="211">
        <v>17.170000000000002</v>
      </c>
      <c r="F6" s="211">
        <v>14.26</v>
      </c>
      <c r="G6" s="211">
        <v>24.27</v>
      </c>
      <c r="H6" s="211">
        <v>19.98</v>
      </c>
      <c r="I6" s="211"/>
      <c r="J6" s="212"/>
      <c r="K6" s="211"/>
      <c r="L6" s="211"/>
      <c r="M6" s="213"/>
      <c r="N6" s="213"/>
      <c r="O6" s="213"/>
      <c r="P6" s="213"/>
      <c r="Q6" s="213"/>
      <c r="R6" s="213"/>
      <c r="S6" s="213"/>
    </row>
    <row r="7" spans="1:19" x14ac:dyDescent="0.25">
      <c r="A7" s="233" t="s">
        <v>168</v>
      </c>
      <c r="B7" s="234">
        <v>2022</v>
      </c>
      <c r="C7" s="214">
        <v>15.49</v>
      </c>
      <c r="D7" s="214">
        <v>22.02</v>
      </c>
      <c r="E7" s="214">
        <v>17.829999999999998</v>
      </c>
      <c r="F7" s="214">
        <v>14.81</v>
      </c>
      <c r="G7" s="214">
        <v>25.227</v>
      </c>
      <c r="H7" s="214">
        <v>20.75</v>
      </c>
      <c r="I7" s="214"/>
      <c r="J7" s="215"/>
      <c r="K7" s="214"/>
      <c r="L7" s="214"/>
      <c r="M7" s="216"/>
      <c r="N7" s="216"/>
      <c r="O7" s="216"/>
      <c r="P7" s="216"/>
      <c r="Q7" s="216"/>
      <c r="R7" s="216"/>
      <c r="S7" s="216"/>
    </row>
    <row r="8" spans="1:19" x14ac:dyDescent="0.25">
      <c r="A8" s="209" t="s">
        <v>90</v>
      </c>
      <c r="B8" s="210">
        <v>2021</v>
      </c>
      <c r="C8" s="211">
        <v>14.686999999999999</v>
      </c>
      <c r="D8" s="211">
        <v>20.806999999999999</v>
      </c>
      <c r="E8" s="211">
        <v>13.471</v>
      </c>
      <c r="F8" s="211">
        <v>14.000999999999999</v>
      </c>
      <c r="G8" s="211">
        <v>0</v>
      </c>
      <c r="H8" s="211">
        <v>19.033000000000001</v>
      </c>
      <c r="I8" s="211"/>
      <c r="J8" s="212"/>
      <c r="K8" s="211"/>
      <c r="L8" s="211"/>
      <c r="M8" s="213"/>
      <c r="N8" s="213"/>
      <c r="O8" s="213"/>
      <c r="P8" s="213"/>
      <c r="Q8" s="213"/>
      <c r="R8" s="213"/>
      <c r="S8" s="213"/>
    </row>
    <row r="9" spans="1:19" x14ac:dyDescent="0.25">
      <c r="A9" s="233" t="s">
        <v>90</v>
      </c>
      <c r="B9" s="234">
        <v>2022</v>
      </c>
      <c r="C9" s="214">
        <v>15.304</v>
      </c>
      <c r="D9" s="214">
        <v>21.681000000000001</v>
      </c>
      <c r="E9" s="214">
        <v>13.983000000000001</v>
      </c>
      <c r="F9" s="214">
        <v>14.589</v>
      </c>
      <c r="G9" s="214">
        <v>0</v>
      </c>
      <c r="H9" s="214">
        <v>19.832000000000001</v>
      </c>
      <c r="I9" s="214"/>
      <c r="J9" s="215"/>
      <c r="K9" s="214"/>
      <c r="L9" s="214"/>
      <c r="M9" s="214"/>
      <c r="N9" s="214"/>
      <c r="O9" s="214"/>
      <c r="P9" s="214"/>
      <c r="Q9" s="216"/>
      <c r="R9" s="216"/>
      <c r="S9" s="216"/>
    </row>
    <row r="10" spans="1:19" x14ac:dyDescent="0.25">
      <c r="A10" s="209" t="s">
        <v>145</v>
      </c>
      <c r="B10" s="210">
        <v>2021</v>
      </c>
      <c r="C10" s="211">
        <v>14.896000000000001</v>
      </c>
      <c r="D10" s="211">
        <v>21.102</v>
      </c>
      <c r="E10" s="211">
        <v>16.739000000000001</v>
      </c>
      <c r="F10" s="211">
        <v>14.202999999999999</v>
      </c>
      <c r="G10" s="211">
        <v>0</v>
      </c>
      <c r="H10" s="211">
        <v>19.305</v>
      </c>
      <c r="I10" s="211"/>
      <c r="J10" s="212"/>
      <c r="K10" s="211"/>
      <c r="L10" s="211"/>
      <c r="M10" s="213"/>
      <c r="N10" s="213"/>
      <c r="O10" s="213"/>
      <c r="P10" s="213"/>
      <c r="Q10" s="213"/>
      <c r="R10" s="213"/>
      <c r="S10" s="213"/>
    </row>
    <row r="11" spans="1:19" x14ac:dyDescent="0.25">
      <c r="A11" s="233" t="s">
        <v>145</v>
      </c>
      <c r="B11" s="234">
        <v>2022</v>
      </c>
      <c r="C11" s="214">
        <v>15.52</v>
      </c>
      <c r="D11" s="214">
        <v>21.998000000000001</v>
      </c>
      <c r="E11" s="214">
        <v>17.442</v>
      </c>
      <c r="F11" s="214">
        <v>14.8</v>
      </c>
      <c r="G11" s="214">
        <v>0</v>
      </c>
      <c r="H11" s="214">
        <v>20.116</v>
      </c>
      <c r="I11" s="214"/>
      <c r="J11" s="215"/>
      <c r="K11" s="214"/>
      <c r="L11" s="214"/>
      <c r="M11" s="216"/>
      <c r="N11" s="216"/>
      <c r="O11" s="216"/>
      <c r="P11" s="216"/>
      <c r="Q11" s="216"/>
      <c r="R11" s="216"/>
      <c r="S11" s="216"/>
    </row>
    <row r="12" spans="1:19" x14ac:dyDescent="0.25">
      <c r="A12" s="209" t="s">
        <v>91</v>
      </c>
      <c r="B12" s="210">
        <v>2021</v>
      </c>
      <c r="C12" s="211">
        <v>14.94</v>
      </c>
      <c r="D12" s="211">
        <v>21.17</v>
      </c>
      <c r="E12" s="211">
        <v>17.149999999999999</v>
      </c>
      <c r="F12" s="211">
        <v>14.26</v>
      </c>
      <c r="G12" s="211">
        <v>24.25</v>
      </c>
      <c r="H12" s="211">
        <v>19.96</v>
      </c>
      <c r="I12" s="211"/>
      <c r="J12" s="212"/>
      <c r="K12" s="211"/>
      <c r="L12" s="211"/>
      <c r="M12" s="213"/>
      <c r="N12" s="213"/>
      <c r="O12" s="213"/>
      <c r="P12" s="213"/>
      <c r="Q12" s="213"/>
      <c r="R12" s="213"/>
      <c r="S12" s="213"/>
    </row>
    <row r="13" spans="1:19" x14ac:dyDescent="0.25">
      <c r="A13" s="233" t="s">
        <v>91</v>
      </c>
      <c r="B13" s="234">
        <v>2022</v>
      </c>
      <c r="C13" s="214">
        <v>15.52</v>
      </c>
      <c r="D13" s="214">
        <v>21.99</v>
      </c>
      <c r="E13" s="214">
        <v>17.809999999999999</v>
      </c>
      <c r="F13" s="214">
        <v>14.81</v>
      </c>
      <c r="G13" s="214">
        <v>25.2</v>
      </c>
      <c r="H13" s="214">
        <v>20.73</v>
      </c>
      <c r="I13" s="214"/>
      <c r="J13" s="215"/>
      <c r="K13" s="214"/>
      <c r="L13" s="214"/>
      <c r="M13" s="216"/>
      <c r="N13" s="216"/>
      <c r="O13" s="216"/>
      <c r="P13" s="216"/>
      <c r="Q13" s="216"/>
      <c r="R13" s="216"/>
      <c r="S13" s="216"/>
    </row>
    <row r="14" spans="1:19" x14ac:dyDescent="0.25">
      <c r="A14" s="209" t="s">
        <v>146</v>
      </c>
      <c r="B14" s="210">
        <v>2021</v>
      </c>
      <c r="C14" s="211">
        <v>14.214285714285714</v>
      </c>
      <c r="D14" s="211">
        <v>20.12857142857143</v>
      </c>
      <c r="E14" s="211">
        <v>10.94764397905759</v>
      </c>
      <c r="F14" s="211">
        <v>13.54</v>
      </c>
      <c r="G14" s="211">
        <v>22.959999999999997</v>
      </c>
      <c r="H14" s="211">
        <v>18.95505617977528</v>
      </c>
      <c r="I14" s="211"/>
      <c r="J14" s="212"/>
      <c r="K14" s="211"/>
      <c r="L14" s="211"/>
      <c r="M14" s="213"/>
      <c r="N14" s="213"/>
      <c r="O14" s="213"/>
      <c r="P14" s="213"/>
      <c r="Q14" s="213"/>
      <c r="R14" s="213"/>
      <c r="S14" s="213"/>
    </row>
    <row r="15" spans="1:19" x14ac:dyDescent="0.25">
      <c r="A15" s="209" t="s">
        <v>147</v>
      </c>
      <c r="B15" s="210">
        <v>2021</v>
      </c>
      <c r="C15" s="211">
        <v>14.585714285714285</v>
      </c>
      <c r="D15" s="211">
        <v>20.693506493506494</v>
      </c>
      <c r="E15" s="211">
        <v>10.94764397905759</v>
      </c>
      <c r="F15" s="211">
        <v>13.924000000000001</v>
      </c>
      <c r="G15" s="211">
        <v>23.6</v>
      </c>
      <c r="H15" s="211">
        <v>19.477611940298505</v>
      </c>
      <c r="I15" s="211"/>
      <c r="J15" s="212"/>
      <c r="K15" s="211"/>
      <c r="L15" s="211"/>
      <c r="M15" s="213"/>
      <c r="N15" s="213"/>
      <c r="O15" s="213"/>
      <c r="P15" s="213"/>
      <c r="Q15" s="213"/>
      <c r="R15" s="213"/>
      <c r="S15" s="213"/>
    </row>
    <row r="16" spans="1:19" x14ac:dyDescent="0.25">
      <c r="A16" s="209" t="s">
        <v>148</v>
      </c>
      <c r="B16" s="210">
        <v>2021</v>
      </c>
      <c r="C16" s="211">
        <v>14.585714285714285</v>
      </c>
      <c r="D16" s="211">
        <v>20.693506493506494</v>
      </c>
      <c r="E16" s="211">
        <v>10.94764397905759</v>
      </c>
      <c r="F16" s="211">
        <v>13.924000000000001</v>
      </c>
      <c r="G16" s="211">
        <v>23.6</v>
      </c>
      <c r="H16" s="211">
        <v>19.477611940298505</v>
      </c>
      <c r="I16" s="211"/>
      <c r="J16" s="212"/>
      <c r="K16" s="211"/>
      <c r="L16" s="211"/>
      <c r="M16" s="213"/>
      <c r="N16" s="213"/>
      <c r="O16" s="213"/>
      <c r="P16" s="213"/>
      <c r="Q16" s="213"/>
      <c r="R16" s="213"/>
      <c r="S16" s="213"/>
    </row>
    <row r="17" spans="1:19" ht="90" x14ac:dyDescent="0.25">
      <c r="A17" s="217" t="s">
        <v>178</v>
      </c>
      <c r="B17" s="210">
        <v>2021</v>
      </c>
      <c r="C17" s="211">
        <v>14.907142857142857</v>
      </c>
      <c r="D17" s="211">
        <v>21.131168831168829</v>
      </c>
      <c r="E17" s="211">
        <v>12.534031413612565</v>
      </c>
      <c r="F17" s="211">
        <v>14.218</v>
      </c>
      <c r="G17" s="211">
        <v>24.133333333333333</v>
      </c>
      <c r="H17" s="211">
        <v>19.888059701492537</v>
      </c>
      <c r="I17" s="211"/>
      <c r="J17" s="212"/>
      <c r="K17" s="211">
        <v>0</v>
      </c>
      <c r="L17" s="211">
        <v>0</v>
      </c>
      <c r="M17" s="213">
        <v>0</v>
      </c>
      <c r="N17" s="213">
        <v>0</v>
      </c>
      <c r="O17" s="213">
        <v>0</v>
      </c>
      <c r="P17" s="213">
        <v>0</v>
      </c>
      <c r="Q17" s="213">
        <v>0</v>
      </c>
      <c r="R17" s="213">
        <v>0</v>
      </c>
      <c r="S17" s="213">
        <v>0</v>
      </c>
    </row>
    <row r="18" spans="1:19" x14ac:dyDescent="0.25">
      <c r="A18" s="209" t="s">
        <v>149</v>
      </c>
      <c r="B18" s="210">
        <v>2021</v>
      </c>
      <c r="C18" s="211">
        <v>15.549999999999999</v>
      </c>
      <c r="D18" s="211">
        <v>22.031168831168831</v>
      </c>
      <c r="E18" s="211">
        <v>11.989528795811518</v>
      </c>
      <c r="F18" s="211">
        <v>14.827999999999999</v>
      </c>
      <c r="G18" s="211">
        <v>25.12</v>
      </c>
      <c r="H18" s="211">
        <v>20.764044943820224</v>
      </c>
      <c r="I18" s="211"/>
      <c r="J18" s="212"/>
      <c r="K18" s="211"/>
      <c r="L18" s="211"/>
      <c r="M18" s="213"/>
      <c r="N18" s="213"/>
      <c r="O18" s="213"/>
      <c r="P18" s="213"/>
      <c r="Q18" s="213"/>
      <c r="R18" s="213"/>
      <c r="S18" s="213"/>
    </row>
    <row r="19" spans="1:19" x14ac:dyDescent="0.25">
      <c r="A19" s="209" t="s">
        <v>150</v>
      </c>
      <c r="B19" s="210">
        <v>2021</v>
      </c>
      <c r="C19" s="211">
        <v>19.87142857142857</v>
      </c>
      <c r="D19" s="211">
        <v>28.161038961038962</v>
      </c>
      <c r="E19" s="211">
        <v>22.979057591623032</v>
      </c>
      <c r="F19" s="211">
        <v>18.948</v>
      </c>
      <c r="G19" s="211">
        <v>32.146666666666668</v>
      </c>
      <c r="H19" s="211">
        <v>26.507462686567163</v>
      </c>
      <c r="I19" s="211"/>
      <c r="J19" s="212"/>
      <c r="K19" s="211"/>
      <c r="L19" s="211"/>
      <c r="M19" s="213"/>
      <c r="N19" s="213"/>
      <c r="O19" s="213"/>
      <c r="P19" s="213"/>
      <c r="Q19" s="213"/>
      <c r="R19" s="213"/>
      <c r="S19" s="213"/>
    </row>
    <row r="20" spans="1:19" x14ac:dyDescent="0.25">
      <c r="A20" s="209" t="s">
        <v>151</v>
      </c>
      <c r="B20" s="210">
        <v>2021</v>
      </c>
      <c r="C20" s="211">
        <v>19.87142857142857</v>
      </c>
      <c r="D20" s="211">
        <v>28.161038961038962</v>
      </c>
      <c r="E20" s="211">
        <v>22.979057591623032</v>
      </c>
      <c r="F20" s="211">
        <v>18.948</v>
      </c>
      <c r="G20" s="211">
        <v>32.146666666666668</v>
      </c>
      <c r="H20" s="211">
        <v>26.507462686567163</v>
      </c>
      <c r="I20" s="211"/>
      <c r="J20" s="212"/>
      <c r="K20" s="211"/>
      <c r="L20" s="211"/>
      <c r="M20" s="213"/>
      <c r="N20" s="213"/>
      <c r="O20" s="213"/>
      <c r="P20" s="213"/>
      <c r="Q20" s="213"/>
      <c r="R20" s="213"/>
      <c r="S20" s="213"/>
    </row>
    <row r="21" spans="1:19" ht="105" x14ac:dyDescent="0.25">
      <c r="A21" s="217" t="s">
        <v>152</v>
      </c>
      <c r="B21" s="210">
        <v>2021</v>
      </c>
      <c r="C21" s="211">
        <v>15.285714285714286</v>
      </c>
      <c r="D21" s="211">
        <v>28.161038961038962</v>
      </c>
      <c r="E21" s="211">
        <v>17.675392670157066</v>
      </c>
      <c r="F21" s="211">
        <v>18.95</v>
      </c>
      <c r="G21" s="211">
        <v>32.159999999999997</v>
      </c>
      <c r="H21" s="211">
        <v>20.388059701492537</v>
      </c>
      <c r="I21" s="211"/>
      <c r="J21" s="212"/>
      <c r="K21" s="211"/>
      <c r="L21" s="211"/>
      <c r="M21" s="213"/>
      <c r="N21" s="213"/>
      <c r="O21" s="213"/>
      <c r="P21" s="213"/>
      <c r="Q21" s="213"/>
      <c r="R21" s="213"/>
      <c r="S21" s="213"/>
    </row>
    <row r="22" spans="1:19" x14ac:dyDescent="0.25">
      <c r="A22" s="233" t="s">
        <v>146</v>
      </c>
      <c r="B22" s="234">
        <v>2022</v>
      </c>
      <c r="C22" s="214">
        <f>442.8/30</f>
        <v>14.76</v>
      </c>
      <c r="D22" s="214">
        <f>1610.3/77</f>
        <v>20.912987012987013</v>
      </c>
      <c r="E22" s="214">
        <v>0</v>
      </c>
      <c r="F22" s="214">
        <f>703.4/50</f>
        <v>14.068</v>
      </c>
      <c r="G22" s="214">
        <f>178.9/7.5</f>
        <v>23.853333333333335</v>
      </c>
      <c r="H22" s="214">
        <f>175.3/8.9</f>
        <v>19.696629213483146</v>
      </c>
      <c r="I22" s="214"/>
      <c r="J22" s="215"/>
      <c r="K22" s="214"/>
      <c r="L22" s="214"/>
      <c r="M22" s="216"/>
      <c r="N22" s="216"/>
      <c r="O22" s="216"/>
      <c r="P22" s="216"/>
      <c r="Q22" s="216"/>
      <c r="R22" s="216"/>
      <c r="S22" s="216"/>
    </row>
    <row r="23" spans="1:19" x14ac:dyDescent="0.25">
      <c r="A23" s="233" t="s">
        <v>147</v>
      </c>
      <c r="B23" s="234">
        <v>2022</v>
      </c>
      <c r="C23" s="214">
        <f>455.3/30</f>
        <v>15.176666666666668</v>
      </c>
      <c r="D23" s="214">
        <f>1655.5/77</f>
        <v>21.5</v>
      </c>
      <c r="E23" s="214">
        <v>0</v>
      </c>
      <c r="F23" s="214">
        <f>723.4/50</f>
        <v>14.468</v>
      </c>
      <c r="G23" s="214">
        <f>183.9/7.5</f>
        <v>24.52</v>
      </c>
      <c r="H23" s="214">
        <f>271.2/13.4</f>
        <v>20.238805970149251</v>
      </c>
      <c r="I23" s="214"/>
      <c r="J23" s="215"/>
      <c r="K23" s="214"/>
      <c r="L23" s="214"/>
      <c r="M23" s="216"/>
      <c r="N23" s="216"/>
      <c r="O23" s="216"/>
      <c r="P23" s="216"/>
      <c r="Q23" s="216"/>
      <c r="R23" s="216"/>
      <c r="S23" s="216"/>
    </row>
    <row r="24" spans="1:19" x14ac:dyDescent="0.25">
      <c r="A24" s="233" t="s">
        <v>148</v>
      </c>
      <c r="B24" s="234">
        <v>2022</v>
      </c>
      <c r="C24" s="272">
        <f t="shared" ref="C24:H24" si="0">C23</f>
        <v>15.176666666666668</v>
      </c>
      <c r="D24" s="272">
        <f t="shared" si="0"/>
        <v>21.5</v>
      </c>
      <c r="E24" s="272">
        <f t="shared" si="0"/>
        <v>0</v>
      </c>
      <c r="F24" s="272">
        <f t="shared" si="0"/>
        <v>14.468</v>
      </c>
      <c r="G24" s="272">
        <f t="shared" si="0"/>
        <v>24.52</v>
      </c>
      <c r="H24" s="272">
        <f t="shared" si="0"/>
        <v>20.238805970149251</v>
      </c>
      <c r="I24" s="214"/>
      <c r="J24" s="215"/>
      <c r="K24" s="214"/>
      <c r="L24" s="214"/>
      <c r="M24" s="216"/>
      <c r="N24" s="216"/>
      <c r="O24" s="216"/>
      <c r="P24" s="216"/>
      <c r="Q24" s="216"/>
      <c r="R24" s="216"/>
      <c r="S24" s="216"/>
    </row>
    <row r="25" spans="1:19" ht="90" x14ac:dyDescent="0.25">
      <c r="A25" s="235" t="s">
        <v>178</v>
      </c>
      <c r="B25" s="234">
        <v>2022</v>
      </c>
      <c r="C25" s="214">
        <f>470.9/30</f>
        <v>15.696666666666665</v>
      </c>
      <c r="D25" s="214">
        <f>1711.6/77</f>
        <v>22.228571428571428</v>
      </c>
      <c r="E25" s="214">
        <f>346.5/19.1</f>
        <v>18.141361256544503</v>
      </c>
      <c r="F25" s="214">
        <f>748/50</f>
        <v>14.96</v>
      </c>
      <c r="G25" s="214">
        <f>190.3/7.5</f>
        <v>25.373333333333335</v>
      </c>
      <c r="H25" s="214">
        <f>280.3/13.4</f>
        <v>20.917910447761194</v>
      </c>
      <c r="I25" s="214"/>
      <c r="J25" s="214"/>
      <c r="K25" s="214">
        <f t="shared" ref="K25:S25" si="1">K31:Z31</f>
        <v>0</v>
      </c>
      <c r="L25" s="214">
        <f t="shared" si="1"/>
        <v>0</v>
      </c>
      <c r="M25" s="214">
        <f t="shared" si="1"/>
        <v>0</v>
      </c>
      <c r="N25" s="214">
        <f t="shared" si="1"/>
        <v>0</v>
      </c>
      <c r="O25" s="214">
        <f t="shared" si="1"/>
        <v>0</v>
      </c>
      <c r="P25" s="214">
        <f t="shared" si="1"/>
        <v>0</v>
      </c>
      <c r="Q25" s="214">
        <f t="shared" si="1"/>
        <v>0</v>
      </c>
      <c r="R25" s="214">
        <f t="shared" si="1"/>
        <v>0</v>
      </c>
      <c r="S25" s="214">
        <f t="shared" si="1"/>
        <v>0</v>
      </c>
    </row>
    <row r="26" spans="1:19" x14ac:dyDescent="0.25">
      <c r="A26" s="233" t="s">
        <v>149</v>
      </c>
      <c r="B26" s="234">
        <v>2022</v>
      </c>
      <c r="C26" s="214">
        <f>486/30</f>
        <v>16.2</v>
      </c>
      <c r="D26" s="214">
        <f>1776.8/77</f>
        <v>23.075324675324676</v>
      </c>
      <c r="E26" s="214">
        <f>238.5/19.1</f>
        <v>12.486910994764397</v>
      </c>
      <c r="F26" s="214">
        <f>772.2/50</f>
        <v>15.444000000000001</v>
      </c>
      <c r="G26" s="214">
        <f>196.2/7.5</f>
        <v>26.16</v>
      </c>
      <c r="H26" s="214">
        <f>192.5/13.4</f>
        <v>14.365671641791044</v>
      </c>
      <c r="I26" s="214"/>
      <c r="J26" s="215"/>
      <c r="K26" s="214"/>
      <c r="L26" s="214"/>
      <c r="M26" s="216"/>
      <c r="N26" s="216"/>
      <c r="O26" s="216"/>
      <c r="P26" s="216"/>
      <c r="Q26" s="216"/>
      <c r="R26" s="216"/>
      <c r="S26" s="216"/>
    </row>
    <row r="27" spans="1:19" x14ac:dyDescent="0.25">
      <c r="A27" s="233" t="s">
        <v>150</v>
      </c>
      <c r="B27" s="234">
        <v>2022</v>
      </c>
      <c r="C27" s="272">
        <f>C28</f>
        <v>20.69</v>
      </c>
      <c r="D27" s="272">
        <f t="shared" ref="D27:H27" si="2">D28</f>
        <v>29.32987012987013</v>
      </c>
      <c r="E27" s="272">
        <f t="shared" si="2"/>
        <v>23.95287958115183</v>
      </c>
      <c r="F27" s="272">
        <f t="shared" si="2"/>
        <v>19.734000000000002</v>
      </c>
      <c r="G27" s="272">
        <f t="shared" si="2"/>
        <v>33.479999999999997</v>
      </c>
      <c r="H27" s="272">
        <f t="shared" si="2"/>
        <v>27.604477611940297</v>
      </c>
      <c r="I27" s="214"/>
      <c r="J27" s="215"/>
      <c r="K27" s="214"/>
      <c r="L27" s="214"/>
      <c r="M27" s="216"/>
      <c r="N27" s="216"/>
      <c r="O27" s="216"/>
      <c r="P27" s="216"/>
      <c r="Q27" s="216"/>
      <c r="R27" s="216"/>
      <c r="S27" s="216"/>
    </row>
    <row r="28" spans="1:19" x14ac:dyDescent="0.25">
      <c r="A28" s="233" t="s">
        <v>151</v>
      </c>
      <c r="B28" s="234">
        <v>2022</v>
      </c>
      <c r="C28" s="214">
        <f>620.7/30</f>
        <v>20.69</v>
      </c>
      <c r="D28" s="214">
        <f>2258.4/77</f>
        <v>29.32987012987013</v>
      </c>
      <c r="E28" s="214">
        <f>457.5/19.1</f>
        <v>23.95287958115183</v>
      </c>
      <c r="F28" s="214">
        <f>986.7/50</f>
        <v>19.734000000000002</v>
      </c>
      <c r="G28" s="214">
        <f>251.1/7.5</f>
        <v>33.479999999999997</v>
      </c>
      <c r="H28" s="214">
        <f>369.9/13.4</f>
        <v>27.604477611940297</v>
      </c>
      <c r="I28" s="214"/>
      <c r="J28" s="215"/>
      <c r="K28" s="214"/>
      <c r="L28" s="214"/>
      <c r="M28" s="216"/>
      <c r="N28" s="216"/>
      <c r="O28" s="216"/>
      <c r="P28" s="216"/>
      <c r="Q28" s="216"/>
      <c r="R28" s="216"/>
      <c r="S28" s="216"/>
    </row>
    <row r="29" spans="1:19" ht="105" x14ac:dyDescent="0.25">
      <c r="A29" s="235" t="s">
        <v>152</v>
      </c>
      <c r="B29" s="234">
        <v>2022</v>
      </c>
      <c r="C29" s="214">
        <f>621/30</f>
        <v>20.7</v>
      </c>
      <c r="D29" s="214">
        <f>2258.4/77</f>
        <v>29.32987012987013</v>
      </c>
      <c r="E29" s="214">
        <f>351.6/19.1</f>
        <v>18.408376963350786</v>
      </c>
      <c r="F29" s="214">
        <f>986.8/50</f>
        <v>19.736000000000001</v>
      </c>
      <c r="G29" s="214">
        <f>251.1/7.5</f>
        <v>33.479999999999997</v>
      </c>
      <c r="H29" s="214">
        <f>284.5/13.4</f>
        <v>21.231343283582088</v>
      </c>
      <c r="I29" s="214"/>
      <c r="J29" s="215"/>
      <c r="K29" s="214"/>
      <c r="L29" s="214"/>
      <c r="M29" s="216"/>
      <c r="N29" s="216"/>
      <c r="O29" s="216"/>
      <c r="P29" s="216"/>
      <c r="Q29" s="216"/>
      <c r="R29" s="216"/>
      <c r="S29" s="216"/>
    </row>
    <row r="30" spans="1:19" x14ac:dyDescent="0.25">
      <c r="A30" s="209" t="s">
        <v>92</v>
      </c>
      <c r="B30" s="210">
        <v>2021</v>
      </c>
      <c r="C30" s="211"/>
      <c r="D30" s="211"/>
      <c r="E30" s="211"/>
      <c r="F30" s="211"/>
      <c r="G30" s="211"/>
      <c r="H30" s="211"/>
      <c r="I30" s="211"/>
      <c r="J30" s="212"/>
      <c r="K30" s="211"/>
      <c r="L30" s="211"/>
      <c r="M30" s="213"/>
      <c r="N30" s="213"/>
      <c r="O30" s="213"/>
      <c r="P30" s="213"/>
      <c r="Q30" s="213"/>
      <c r="R30" s="213"/>
      <c r="S30" s="213"/>
    </row>
    <row r="31" spans="1:19" x14ac:dyDescent="0.25">
      <c r="A31" s="233" t="s">
        <v>92</v>
      </c>
      <c r="B31" s="234">
        <v>2022</v>
      </c>
      <c r="C31" s="214"/>
      <c r="D31" s="214"/>
      <c r="E31" s="214"/>
      <c r="F31" s="214"/>
      <c r="G31" s="214"/>
      <c r="H31" s="214"/>
      <c r="I31" s="214"/>
      <c r="J31" s="215"/>
      <c r="K31" s="214"/>
      <c r="L31" s="214"/>
      <c r="M31" s="216"/>
      <c r="N31" s="216"/>
      <c r="O31" s="216"/>
      <c r="P31" s="216"/>
      <c r="Q31" s="216"/>
      <c r="R31" s="216"/>
      <c r="S31" s="216"/>
    </row>
    <row r="32" spans="1:19" x14ac:dyDescent="0.25">
      <c r="A32" s="209" t="s">
        <v>93</v>
      </c>
      <c r="B32" s="210">
        <v>2021</v>
      </c>
      <c r="C32" s="211">
        <v>15.827999999999999</v>
      </c>
      <c r="D32" s="211">
        <v>22.422000000000001</v>
      </c>
      <c r="E32" s="211">
        <v>18.742000000000001</v>
      </c>
      <c r="F32" s="211">
        <v>15.087999999999999</v>
      </c>
      <c r="G32" s="211">
        <v>0</v>
      </c>
      <c r="H32" s="211">
        <v>21.103999999999999</v>
      </c>
      <c r="I32" s="211">
        <v>25.559000000000001</v>
      </c>
      <c r="J32" s="212">
        <v>28.654</v>
      </c>
      <c r="K32" s="211"/>
      <c r="L32" s="211"/>
      <c r="M32" s="213"/>
      <c r="N32" s="213"/>
      <c r="O32" s="213"/>
      <c r="P32" s="213"/>
      <c r="Q32" s="213"/>
      <c r="R32" s="213"/>
      <c r="S32" s="213"/>
    </row>
    <row r="33" spans="1:19" x14ac:dyDescent="0.25">
      <c r="A33" s="233" t="s">
        <v>93</v>
      </c>
      <c r="B33" s="234">
        <v>2022</v>
      </c>
      <c r="C33" s="214">
        <f>497.1/30</f>
        <v>16.57</v>
      </c>
      <c r="D33" s="214">
        <f>1805.9/77</f>
        <v>23.453246753246756</v>
      </c>
      <c r="E33" s="214">
        <f>243.8/19.1</f>
        <v>12.764397905759163</v>
      </c>
      <c r="F33" s="214">
        <f>789.4/50</f>
        <v>15.788</v>
      </c>
      <c r="G33" s="214">
        <f>224.9/7.5</f>
        <v>29.986666666666668</v>
      </c>
      <c r="H33" s="214">
        <f>196.5/13.4</f>
        <v>14.664179104477611</v>
      </c>
      <c r="I33" s="214">
        <v>26.713000000000001</v>
      </c>
      <c r="J33" s="215">
        <v>29.986999999999998</v>
      </c>
      <c r="K33" s="214"/>
      <c r="L33" s="214"/>
      <c r="M33" s="216"/>
      <c r="N33" s="216"/>
      <c r="O33" s="216"/>
      <c r="P33" s="216"/>
      <c r="Q33" s="216"/>
      <c r="R33" s="216"/>
      <c r="S33" s="216"/>
    </row>
    <row r="34" spans="1:19" x14ac:dyDescent="0.25">
      <c r="A34" s="209" t="s">
        <v>201</v>
      </c>
      <c r="B34" s="210">
        <v>2021</v>
      </c>
      <c r="C34" s="211">
        <v>15.77</v>
      </c>
      <c r="D34" s="211">
        <v>22.42</v>
      </c>
      <c r="E34" s="211">
        <v>18.16</v>
      </c>
      <c r="F34" s="211">
        <v>15.11</v>
      </c>
      <c r="G34" s="211">
        <v>0</v>
      </c>
      <c r="H34" s="211">
        <v>21.14</v>
      </c>
      <c r="I34" s="211"/>
      <c r="J34" s="212"/>
      <c r="K34" s="211"/>
      <c r="L34" s="211"/>
      <c r="M34" s="213"/>
      <c r="N34" s="213"/>
      <c r="O34" s="213"/>
      <c r="P34" s="213"/>
      <c r="Q34" s="213"/>
      <c r="R34" s="213"/>
      <c r="S34" s="213"/>
    </row>
    <row r="35" spans="1:19" x14ac:dyDescent="0.25">
      <c r="A35" s="233" t="s">
        <v>201</v>
      </c>
      <c r="B35" s="234">
        <v>2022</v>
      </c>
      <c r="C35" s="214">
        <v>16.46</v>
      </c>
      <c r="D35" s="214">
        <v>23.4</v>
      </c>
      <c r="E35" s="214">
        <v>18.95</v>
      </c>
      <c r="F35" s="214">
        <v>15.77</v>
      </c>
      <c r="G35" s="214">
        <v>0</v>
      </c>
      <c r="H35" s="214">
        <v>22.07</v>
      </c>
      <c r="I35" s="214"/>
      <c r="J35" s="215"/>
      <c r="K35" s="214"/>
      <c r="L35" s="214"/>
      <c r="M35" s="216"/>
      <c r="N35" s="216"/>
      <c r="O35" s="216"/>
      <c r="P35" s="216"/>
      <c r="Q35" s="216"/>
      <c r="R35" s="216"/>
      <c r="S35" s="216"/>
    </row>
    <row r="36" spans="1:19" x14ac:dyDescent="0.25">
      <c r="A36" s="209" t="s">
        <v>153</v>
      </c>
      <c r="B36" s="210">
        <v>2021</v>
      </c>
      <c r="C36" s="310">
        <v>15.607142857142858</v>
      </c>
      <c r="D36" s="211">
        <v>22.093506493506496</v>
      </c>
      <c r="E36" s="211">
        <v>12.026178010471202</v>
      </c>
      <c r="F36" s="211">
        <v>14.868</v>
      </c>
      <c r="G36" s="211">
        <v>25.186666666666667</v>
      </c>
      <c r="H36" s="211">
        <v>13.656716417910447</v>
      </c>
      <c r="I36" s="211"/>
      <c r="J36" s="212"/>
      <c r="K36" s="211"/>
      <c r="L36" s="211"/>
      <c r="M36" s="213"/>
      <c r="N36" s="213"/>
      <c r="O36" s="213"/>
      <c r="P36" s="213"/>
      <c r="Q36" s="213"/>
      <c r="R36" s="213"/>
      <c r="S36" s="213"/>
    </row>
    <row r="37" spans="1:19" x14ac:dyDescent="0.25">
      <c r="A37" s="233" t="s">
        <v>153</v>
      </c>
      <c r="B37" s="234">
        <v>2022</v>
      </c>
      <c r="C37" s="311">
        <v>16.247</v>
      </c>
      <c r="D37" s="214">
        <v>23.021999999999998</v>
      </c>
      <c r="E37" s="214">
        <v>12.529</v>
      </c>
      <c r="F37" s="214">
        <v>15.492000000000001</v>
      </c>
      <c r="G37" s="214">
        <v>26.24</v>
      </c>
      <c r="H37" s="214">
        <v>14.231</v>
      </c>
      <c r="I37" s="214"/>
      <c r="J37" s="215"/>
      <c r="K37" s="214"/>
      <c r="L37" s="214"/>
      <c r="M37" s="216"/>
      <c r="N37" s="216"/>
      <c r="O37" s="216"/>
      <c r="P37" s="216"/>
      <c r="Q37" s="216"/>
      <c r="R37" s="216"/>
      <c r="S37" s="216"/>
    </row>
    <row r="38" spans="1:19" x14ac:dyDescent="0.25">
      <c r="A38" s="209" t="s">
        <v>154</v>
      </c>
      <c r="B38" s="210">
        <v>2021</v>
      </c>
      <c r="C38" s="310">
        <v>15.872999999999999</v>
      </c>
      <c r="D38" s="211"/>
      <c r="E38" s="211">
        <v>18.05</v>
      </c>
      <c r="F38" s="211">
        <v>15.038</v>
      </c>
      <c r="G38" s="211">
        <v>25.634666666666664</v>
      </c>
      <c r="H38" s="211">
        <v>20.812000000000001</v>
      </c>
      <c r="I38" s="211"/>
      <c r="J38" s="212"/>
      <c r="K38" s="211"/>
      <c r="L38" s="211"/>
      <c r="M38" s="213"/>
      <c r="N38" s="213"/>
      <c r="O38" s="213"/>
      <c r="P38" s="213"/>
      <c r="Q38" s="213"/>
      <c r="R38" s="213"/>
      <c r="S38" s="213"/>
    </row>
    <row r="39" spans="1:19" x14ac:dyDescent="0.25">
      <c r="A39" s="233" t="s">
        <v>154</v>
      </c>
      <c r="B39" s="234">
        <v>2022</v>
      </c>
      <c r="C39" s="311">
        <f>496.2/30</f>
        <v>16.54</v>
      </c>
      <c r="D39" s="214">
        <f>1793.1/77</f>
        <v>23.287012987012986</v>
      </c>
      <c r="E39" s="214">
        <f>359.2/19.1</f>
        <v>18.806282722513085</v>
      </c>
      <c r="F39" s="214">
        <f>783.5/50</f>
        <v>15.67</v>
      </c>
      <c r="G39" s="214">
        <f>200.34/7.5</f>
        <v>26.712</v>
      </c>
      <c r="H39" s="214">
        <f>290.6/13.4</f>
        <v>21.686567164179106</v>
      </c>
      <c r="I39" s="214"/>
      <c r="J39" s="215"/>
      <c r="K39" s="214"/>
      <c r="L39" s="214"/>
      <c r="M39" s="216"/>
      <c r="N39" s="216"/>
      <c r="O39" s="216"/>
      <c r="P39" s="216"/>
      <c r="Q39" s="216"/>
      <c r="R39" s="216"/>
      <c r="S39" s="216"/>
    </row>
    <row r="40" spans="1:19" x14ac:dyDescent="0.25">
      <c r="A40" s="209" t="s">
        <v>155</v>
      </c>
      <c r="B40" s="210">
        <v>2021</v>
      </c>
      <c r="C40" s="310">
        <v>15.32</v>
      </c>
      <c r="D40" s="211">
        <v>21.701000000000001</v>
      </c>
      <c r="E40" s="211">
        <v>17.71</v>
      </c>
      <c r="F40" s="211">
        <v>14.603</v>
      </c>
      <c r="G40" s="211">
        <v>0</v>
      </c>
      <c r="H40" s="211">
        <v>20.425000000000001</v>
      </c>
      <c r="I40" s="211">
        <v>24.738</v>
      </c>
      <c r="J40" s="212">
        <v>27.733000000000001</v>
      </c>
      <c r="K40" s="211"/>
      <c r="L40" s="211"/>
      <c r="M40" s="213"/>
      <c r="N40" s="213"/>
      <c r="O40" s="213"/>
      <c r="P40" s="213"/>
      <c r="Q40" s="213"/>
      <c r="R40" s="213"/>
      <c r="S40" s="213"/>
    </row>
    <row r="41" spans="1:19" x14ac:dyDescent="0.25">
      <c r="A41" s="233" t="s">
        <v>155</v>
      </c>
      <c r="B41" s="234">
        <v>2022</v>
      </c>
      <c r="C41" s="311">
        <v>15.779</v>
      </c>
      <c r="D41" s="214">
        <v>22.353000000000002</v>
      </c>
      <c r="E41" s="214">
        <v>18.241</v>
      </c>
      <c r="F41" s="214">
        <v>15.041</v>
      </c>
      <c r="G41" s="214">
        <v>0</v>
      </c>
      <c r="H41" s="214">
        <v>21.038</v>
      </c>
      <c r="I41" s="214">
        <v>25.48</v>
      </c>
      <c r="J41" s="215">
        <v>28.84</v>
      </c>
      <c r="K41" s="214"/>
      <c r="L41" s="214"/>
      <c r="M41" s="216"/>
      <c r="N41" s="216"/>
      <c r="O41" s="216"/>
      <c r="P41" s="216"/>
      <c r="Q41" s="216"/>
      <c r="R41" s="216"/>
      <c r="S41" s="216"/>
    </row>
    <row r="42" spans="1:19" x14ac:dyDescent="0.25">
      <c r="A42" s="209" t="s">
        <v>156</v>
      </c>
      <c r="B42" s="210">
        <v>2021</v>
      </c>
      <c r="C42" s="310">
        <v>56.150171999999998</v>
      </c>
      <c r="D42" s="218"/>
      <c r="E42" s="218"/>
      <c r="F42" s="218"/>
      <c r="G42" s="218"/>
      <c r="H42" s="218"/>
      <c r="I42" s="218"/>
      <c r="J42" s="212"/>
      <c r="K42" s="219">
        <v>48.959691778749473</v>
      </c>
      <c r="L42" s="219">
        <v>48.718400496157173</v>
      </c>
      <c r="M42" s="236">
        <v>1051679.5101562499</v>
      </c>
      <c r="N42" s="236">
        <v>155</v>
      </c>
      <c r="O42" s="236">
        <v>282</v>
      </c>
      <c r="P42" s="236">
        <v>267</v>
      </c>
      <c r="Q42" s="236">
        <v>462</v>
      </c>
      <c r="R42" s="236">
        <v>447</v>
      </c>
      <c r="S42" s="236"/>
    </row>
    <row r="43" spans="1:19" x14ac:dyDescent="0.25">
      <c r="A43" s="233" t="s">
        <v>156</v>
      </c>
      <c r="B43" s="234">
        <v>2022</v>
      </c>
      <c r="C43" s="273">
        <f>C42*1.06</f>
        <v>59.519182319999999</v>
      </c>
      <c r="D43" s="237"/>
      <c r="E43" s="237"/>
      <c r="F43" s="237"/>
      <c r="G43" s="237"/>
      <c r="H43" s="237"/>
      <c r="I43" s="237"/>
      <c r="J43" s="215"/>
      <c r="K43" s="220">
        <f>($M43/$N43+O43*$C43)/Q43</f>
        <v>51.016100675372854</v>
      </c>
      <c r="L43" s="220">
        <f>($M43/$N43+P43*$C43)/R43</f>
        <v>50.730762365150454</v>
      </c>
      <c r="M43" s="238">
        <f>675300*1.15*1.125*1.125*1.07</f>
        <v>1051679.5101562499</v>
      </c>
      <c r="N43" s="239">
        <v>155</v>
      </c>
      <c r="O43" s="239">
        <v>282</v>
      </c>
      <c r="P43" s="239">
        <v>267</v>
      </c>
      <c r="Q43" s="239">
        <v>462</v>
      </c>
      <c r="R43" s="239">
        <v>447</v>
      </c>
      <c r="S43" s="216"/>
    </row>
    <row r="44" spans="1:19" x14ac:dyDescent="0.25">
      <c r="A44" s="209" t="s">
        <v>157</v>
      </c>
      <c r="B44" s="210">
        <v>2021</v>
      </c>
      <c r="C44" s="310">
        <v>48.281102999999995</v>
      </c>
      <c r="D44" s="218"/>
      <c r="E44" s="218"/>
      <c r="F44" s="218"/>
      <c r="G44" s="218"/>
      <c r="H44" s="218"/>
      <c r="I44" s="218"/>
      <c r="J44" s="212"/>
      <c r="K44" s="211"/>
      <c r="L44" s="211"/>
      <c r="M44" s="213"/>
      <c r="N44" s="213"/>
      <c r="O44" s="213"/>
      <c r="P44" s="213"/>
      <c r="Q44" s="213"/>
      <c r="R44" s="213"/>
      <c r="S44" s="213"/>
    </row>
    <row r="45" spans="1:19" x14ac:dyDescent="0.25">
      <c r="A45" s="233" t="s">
        <v>157</v>
      </c>
      <c r="B45" s="234">
        <v>2022</v>
      </c>
      <c r="C45" s="273">
        <f>C44*1.06</f>
        <v>51.177969179999998</v>
      </c>
      <c r="D45" s="237"/>
      <c r="E45" s="237"/>
      <c r="F45" s="237"/>
      <c r="G45" s="237"/>
      <c r="H45" s="237"/>
      <c r="I45" s="237"/>
      <c r="J45" s="215"/>
      <c r="K45" s="214"/>
      <c r="L45" s="214"/>
      <c r="M45" s="216"/>
      <c r="N45" s="216"/>
      <c r="O45" s="216"/>
      <c r="P45" s="216"/>
      <c r="Q45" s="216"/>
      <c r="R45" s="216"/>
      <c r="S45" s="216"/>
    </row>
    <row r="46" spans="1:19" x14ac:dyDescent="0.25">
      <c r="A46" s="209" t="s">
        <v>158</v>
      </c>
      <c r="B46" s="210">
        <v>2021</v>
      </c>
      <c r="C46" s="310">
        <v>41.608241999999997</v>
      </c>
      <c r="D46" s="218"/>
      <c r="E46" s="218"/>
      <c r="F46" s="218"/>
      <c r="G46" s="218"/>
      <c r="H46" s="218"/>
      <c r="I46" s="218"/>
      <c r="J46" s="212"/>
      <c r="K46" s="219">
        <v>37.844365128822787</v>
      </c>
      <c r="L46" s="219">
        <v>37.78833711301148</v>
      </c>
      <c r="M46" s="236">
        <v>982878.04687499988</v>
      </c>
      <c r="N46" s="236">
        <v>155</v>
      </c>
      <c r="O46" s="236">
        <v>282</v>
      </c>
      <c r="P46" s="236">
        <v>267</v>
      </c>
      <c r="Q46" s="236">
        <v>462</v>
      </c>
      <c r="R46" s="236">
        <v>447</v>
      </c>
      <c r="S46" s="236"/>
    </row>
    <row r="47" spans="1:19" x14ac:dyDescent="0.25">
      <c r="A47" s="233" t="s">
        <v>158</v>
      </c>
      <c r="B47" s="234">
        <v>2022</v>
      </c>
      <c r="C47" s="273">
        <f>C46*1.06</f>
        <v>44.104736519999996</v>
      </c>
      <c r="D47" s="237"/>
      <c r="E47" s="237"/>
      <c r="F47" s="237"/>
      <c r="G47" s="237"/>
      <c r="H47" s="237"/>
      <c r="I47" s="237"/>
      <c r="J47" s="215"/>
      <c r="K47" s="220">
        <f>($M47/$N47+O47*$C47)/Q47</f>
        <v>41.607283109139082</v>
      </c>
      <c r="L47" s="220">
        <f>($M47/$N47+P47*$C47)/R47</f>
        <v>41.523475947700796</v>
      </c>
      <c r="M47" s="239">
        <f>M43</f>
        <v>1051679.5101562499</v>
      </c>
      <c r="N47" s="239">
        <v>155</v>
      </c>
      <c r="O47" s="239">
        <v>282</v>
      </c>
      <c r="P47" s="239">
        <v>267</v>
      </c>
      <c r="Q47" s="239">
        <v>462</v>
      </c>
      <c r="R47" s="239">
        <v>447</v>
      </c>
      <c r="S47" s="216"/>
    </row>
    <row r="48" spans="1:19" x14ac:dyDescent="0.25">
      <c r="A48" s="222"/>
      <c r="B48" s="223"/>
      <c r="C48" s="224"/>
      <c r="D48" s="224"/>
      <c r="E48" s="224"/>
      <c r="F48" s="224"/>
      <c r="G48" s="224"/>
      <c r="H48" s="224"/>
      <c r="I48" s="224"/>
      <c r="J48" s="240"/>
      <c r="K48" s="225"/>
      <c r="L48" s="225"/>
      <c r="M48" s="241"/>
      <c r="N48" s="241"/>
      <c r="O48" s="241"/>
      <c r="P48" s="241"/>
      <c r="Q48" s="241"/>
      <c r="R48" s="241"/>
      <c r="S48" s="241"/>
    </row>
    <row r="49" spans="1:19" x14ac:dyDescent="0.25">
      <c r="A49" s="209" t="s">
        <v>169</v>
      </c>
      <c r="B49" s="210">
        <v>2021</v>
      </c>
      <c r="C49" s="211"/>
      <c r="D49" s="211"/>
      <c r="E49" s="211"/>
      <c r="F49" s="211"/>
      <c r="G49" s="211"/>
      <c r="H49" s="211"/>
      <c r="I49" s="218"/>
      <c r="J49" s="212"/>
      <c r="K49" s="211"/>
      <c r="L49" s="211"/>
      <c r="M49" s="213"/>
      <c r="N49" s="213"/>
      <c r="O49" s="213"/>
      <c r="P49" s="213"/>
      <c r="Q49" s="213"/>
      <c r="R49" s="213"/>
      <c r="S49" s="213"/>
    </row>
    <row r="50" spans="1:19" x14ac:dyDescent="0.25">
      <c r="A50" s="233" t="s">
        <v>169</v>
      </c>
      <c r="B50" s="234">
        <v>2022</v>
      </c>
      <c r="C50" s="214"/>
      <c r="D50" s="214"/>
      <c r="E50" s="214"/>
      <c r="F50" s="214"/>
      <c r="G50" s="214"/>
      <c r="H50" s="214"/>
      <c r="I50" s="237"/>
      <c r="J50" s="215"/>
      <c r="K50" s="214"/>
      <c r="L50" s="214"/>
      <c r="M50" s="216"/>
      <c r="N50" s="216"/>
      <c r="O50" s="216"/>
      <c r="P50" s="216"/>
      <c r="Q50" s="216"/>
      <c r="R50" s="216"/>
      <c r="S50" s="216"/>
    </row>
    <row r="51" spans="1:19" x14ac:dyDescent="0.25">
      <c r="A51" s="209" t="s">
        <v>170</v>
      </c>
      <c r="B51" s="210">
        <v>2021</v>
      </c>
      <c r="C51" s="211"/>
      <c r="D51" s="211"/>
      <c r="E51" s="211"/>
      <c r="F51" s="211"/>
      <c r="G51" s="211"/>
      <c r="H51" s="211"/>
      <c r="I51" s="218"/>
      <c r="J51" s="212"/>
      <c r="K51" s="211"/>
      <c r="L51" s="211"/>
      <c r="M51" s="213"/>
      <c r="N51" s="213"/>
      <c r="O51" s="213"/>
      <c r="P51" s="213"/>
      <c r="Q51" s="213"/>
      <c r="R51" s="213"/>
      <c r="S51" s="213"/>
    </row>
    <row r="52" spans="1:19" x14ac:dyDescent="0.25">
      <c r="A52" s="233" t="s">
        <v>170</v>
      </c>
      <c r="B52" s="234">
        <v>2022</v>
      </c>
      <c r="C52" s="214"/>
      <c r="D52" s="214"/>
      <c r="E52" s="214"/>
      <c r="F52" s="214"/>
      <c r="G52" s="214"/>
      <c r="H52" s="214"/>
      <c r="I52" s="237"/>
      <c r="J52" s="215"/>
      <c r="K52" s="214"/>
      <c r="L52" s="214"/>
      <c r="M52" s="216"/>
      <c r="N52" s="216"/>
      <c r="O52" s="216"/>
      <c r="P52" s="216"/>
      <c r="Q52" s="216"/>
      <c r="R52" s="216"/>
      <c r="S52" s="216"/>
    </row>
    <row r="53" spans="1:19" x14ac:dyDescent="0.25">
      <c r="A53" s="209" t="s">
        <v>171</v>
      </c>
      <c r="B53" s="210">
        <v>2021</v>
      </c>
      <c r="C53" s="211"/>
      <c r="D53" s="211"/>
      <c r="E53" s="211"/>
      <c r="F53" s="211"/>
      <c r="G53" s="211"/>
      <c r="H53" s="211"/>
      <c r="I53" s="218"/>
      <c r="J53" s="212"/>
      <c r="K53" s="211"/>
      <c r="L53" s="211"/>
      <c r="M53" s="213"/>
      <c r="N53" s="213"/>
      <c r="O53" s="213"/>
      <c r="P53" s="213"/>
      <c r="Q53" s="213"/>
      <c r="R53" s="213"/>
      <c r="S53" s="214">
        <v>13.913</v>
      </c>
    </row>
    <row r="54" spans="1:19" x14ac:dyDescent="0.25">
      <c r="A54" s="233" t="s">
        <v>171</v>
      </c>
      <c r="B54" s="234">
        <v>2022</v>
      </c>
      <c r="C54" s="214"/>
      <c r="D54" s="214"/>
      <c r="E54" s="214"/>
      <c r="F54" s="214"/>
      <c r="G54" s="214"/>
      <c r="H54" s="214"/>
      <c r="I54" s="237"/>
      <c r="J54" s="215"/>
      <c r="K54" s="214"/>
      <c r="L54" s="214"/>
      <c r="M54" s="216"/>
      <c r="N54" s="216"/>
      <c r="O54" s="216"/>
      <c r="P54" s="216"/>
      <c r="Q54" s="216"/>
      <c r="R54" s="216"/>
      <c r="S54" s="214">
        <f>434.9/30</f>
        <v>14.496666666666666</v>
      </c>
    </row>
    <row r="55" spans="1:19" x14ac:dyDescent="0.25">
      <c r="A55" s="209" t="s">
        <v>172</v>
      </c>
      <c r="B55" s="210">
        <v>2021</v>
      </c>
      <c r="C55" s="211"/>
      <c r="D55" s="211"/>
      <c r="E55" s="211"/>
      <c r="F55" s="211"/>
      <c r="G55" s="211"/>
      <c r="H55" s="211"/>
      <c r="I55" s="218"/>
      <c r="J55" s="212"/>
      <c r="K55" s="211"/>
      <c r="L55" s="211"/>
      <c r="M55" s="213"/>
      <c r="N55" s="213"/>
      <c r="O55" s="213"/>
      <c r="P55" s="213"/>
      <c r="Q55" s="213"/>
      <c r="R55" s="213"/>
      <c r="S55" s="214">
        <v>14.82</v>
      </c>
    </row>
    <row r="56" spans="1:19" x14ac:dyDescent="0.25">
      <c r="A56" s="233" t="s">
        <v>172</v>
      </c>
      <c r="B56" s="234">
        <v>2022</v>
      </c>
      <c r="C56" s="214"/>
      <c r="D56" s="214"/>
      <c r="E56" s="214"/>
      <c r="F56" s="214"/>
      <c r="G56" s="214"/>
      <c r="H56" s="214"/>
      <c r="I56" s="237"/>
      <c r="J56" s="215"/>
      <c r="K56" s="214"/>
      <c r="L56" s="214"/>
      <c r="M56" s="216"/>
      <c r="N56" s="216"/>
      <c r="O56" s="216"/>
      <c r="P56" s="216"/>
      <c r="Q56" s="216"/>
      <c r="R56" s="216"/>
      <c r="S56" s="214">
        <f>463.3/30</f>
        <v>15.443333333333333</v>
      </c>
    </row>
    <row r="57" spans="1:19" x14ac:dyDescent="0.25">
      <c r="A57" s="226"/>
      <c r="B57" s="227"/>
      <c r="C57" s="228"/>
      <c r="D57" s="228"/>
      <c r="E57" s="228"/>
      <c r="F57" s="228"/>
      <c r="G57" s="228"/>
      <c r="H57" s="228"/>
      <c r="I57" s="228"/>
      <c r="J57" s="242"/>
      <c r="K57" s="229"/>
      <c r="L57" s="229"/>
      <c r="M57" s="243"/>
      <c r="N57" s="243"/>
      <c r="O57" s="243"/>
      <c r="P57" s="243"/>
      <c r="Q57" s="243"/>
      <c r="R57" s="243"/>
      <c r="S57" s="243"/>
    </row>
    <row r="58" spans="1:19" ht="45" x14ac:dyDescent="0.25">
      <c r="A58" s="217" t="s">
        <v>179</v>
      </c>
      <c r="B58" s="210">
        <v>2021</v>
      </c>
      <c r="C58" s="211">
        <v>15.285714285714286</v>
      </c>
      <c r="D58" s="211">
        <v>21.663636363636364</v>
      </c>
      <c r="E58" s="211">
        <v>17.675392670157066</v>
      </c>
      <c r="F58" s="211">
        <v>18.952000000000002</v>
      </c>
      <c r="G58" s="211">
        <v>24.733333333333334</v>
      </c>
      <c r="H58" s="211">
        <v>20.388059701492537</v>
      </c>
      <c r="I58" s="218"/>
      <c r="J58" s="212"/>
      <c r="K58" s="211"/>
      <c r="L58" s="211"/>
      <c r="M58" s="213"/>
      <c r="N58" s="213"/>
      <c r="O58" s="213"/>
      <c r="P58" s="213"/>
      <c r="Q58" s="213"/>
      <c r="R58" s="213"/>
      <c r="S58" s="213"/>
    </row>
    <row r="59" spans="1:19" ht="45" x14ac:dyDescent="0.25">
      <c r="A59" s="235" t="s">
        <v>179</v>
      </c>
      <c r="B59" s="234">
        <v>2022</v>
      </c>
      <c r="C59" s="214">
        <f>621/30</f>
        <v>20.7</v>
      </c>
      <c r="D59" s="214">
        <f>1737.3/77</f>
        <v>22.562337662337661</v>
      </c>
      <c r="E59" s="214">
        <f>351.6/19.1</f>
        <v>18.408376963350786</v>
      </c>
      <c r="F59" s="214">
        <f>986.9/50</f>
        <v>19.738</v>
      </c>
      <c r="G59" s="214">
        <f>193.2/7.5</f>
        <v>25.759999999999998</v>
      </c>
      <c r="H59" s="214">
        <f>284.5/13.4</f>
        <v>21.231343283582088</v>
      </c>
      <c r="I59" s="237"/>
      <c r="J59" s="215"/>
      <c r="K59" s="214"/>
      <c r="L59" s="214"/>
      <c r="M59" s="216"/>
      <c r="N59" s="216"/>
      <c r="O59" s="216"/>
      <c r="P59" s="216"/>
      <c r="Q59" s="216"/>
      <c r="R59" s="216"/>
      <c r="S59" s="214"/>
    </row>
    <row r="60" spans="1:19" x14ac:dyDescent="0.25">
      <c r="A60" s="226"/>
      <c r="B60" s="227"/>
      <c r="C60" s="228"/>
      <c r="D60" s="228"/>
      <c r="E60" s="228"/>
      <c r="F60" s="228"/>
      <c r="G60" s="228"/>
      <c r="H60" s="228"/>
      <c r="I60" s="228"/>
      <c r="J60" s="242"/>
      <c r="K60" s="229"/>
      <c r="L60" s="229"/>
      <c r="M60" s="243"/>
      <c r="N60" s="243"/>
      <c r="O60" s="243"/>
      <c r="P60" s="243"/>
      <c r="Q60" s="243"/>
      <c r="R60" s="243"/>
      <c r="S60" s="243"/>
    </row>
    <row r="61" spans="1:19" x14ac:dyDescent="0.25">
      <c r="A61" s="209" t="s">
        <v>202</v>
      </c>
      <c r="B61" s="210">
        <v>2021</v>
      </c>
      <c r="C61" s="211">
        <v>15.46</v>
      </c>
      <c r="D61" s="211">
        <v>21.99</v>
      </c>
      <c r="E61" s="211">
        <v>17.809999999999999</v>
      </c>
      <c r="F61" s="211">
        <v>14.81</v>
      </c>
      <c r="G61" s="211">
        <v>0</v>
      </c>
      <c r="H61" s="211">
        <v>20.73</v>
      </c>
      <c r="I61" s="211"/>
      <c r="J61" s="212"/>
      <c r="K61" s="211"/>
      <c r="L61" s="211"/>
      <c r="M61" s="213"/>
      <c r="N61" s="213"/>
      <c r="O61" s="213"/>
      <c r="P61" s="213"/>
      <c r="Q61" s="213"/>
      <c r="R61" s="213"/>
      <c r="S61" s="213"/>
    </row>
    <row r="62" spans="1:19" x14ac:dyDescent="0.25">
      <c r="A62" s="233" t="s">
        <v>202</v>
      </c>
      <c r="B62" s="234">
        <v>2022</v>
      </c>
      <c r="C62" s="214">
        <v>15.92</v>
      </c>
      <c r="D62" s="214">
        <v>22.64</v>
      </c>
      <c r="E62" s="214">
        <v>18.34</v>
      </c>
      <c r="F62" s="214">
        <v>15.25</v>
      </c>
      <c r="G62" s="214">
        <v>0</v>
      </c>
      <c r="H62" s="214">
        <v>21.35</v>
      </c>
      <c r="I62" s="214"/>
      <c r="J62" s="215"/>
      <c r="K62" s="214"/>
      <c r="L62" s="214"/>
      <c r="M62" s="216"/>
      <c r="N62" s="216"/>
      <c r="O62" s="216"/>
      <c r="P62" s="216"/>
      <c r="Q62" s="216"/>
      <c r="R62" s="216"/>
      <c r="S62" s="216"/>
    </row>
  </sheetData>
  <sheetProtection algorithmName="SHA-512" hashValue="ws7HBYnE0uSA/A+uvDaHyRuhr7VMCZdMoNJ63TOCsl7UTLn5qY2OWlJimnouyW9vPnLLWnap7YbFTuK1SBdt7Q==" saltValue="ymxj/CLeXZH2vr+PiM3uGA=="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Neurology Comparative Tariffs</vt:lpstr>
      <vt:lpstr>RCF</vt:lpstr>
      <vt:lpstr>'Neurology Comparative Tariffs'!Print_Area</vt:lpstr>
      <vt:lpstr>'Neurology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2022-02-02T07:58:35Z</cp:lastPrinted>
  <dcterms:created xsi:type="dcterms:W3CDTF">2007-01-02T12:57:15Z</dcterms:created>
  <dcterms:modified xsi:type="dcterms:W3CDTF">2022-02-02T13:05:01Z</dcterms:modified>
</cp:coreProperties>
</file>