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F04DB617-762D-4D2A-B776-AC7DB050C0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Tariffs'!$A$1:$BB$59</definedName>
    <definedName name="_xlnm.Print_Titles" localSheetId="0">'Dermatology Comparative Tariffs'!$A:$E,'Dermatology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40" i="1" l="1"/>
  <c r="AX41" i="1"/>
  <c r="AW41" i="1" s="1"/>
  <c r="AX42" i="1"/>
  <c r="AW42" i="1" s="1"/>
  <c r="AX43" i="1"/>
  <c r="AW43" i="1" s="1"/>
  <c r="AX44" i="1"/>
  <c r="AX45" i="1"/>
  <c r="AW45" i="1" s="1"/>
  <c r="AX46" i="1"/>
  <c r="AW46" i="1" s="1"/>
  <c r="AX47" i="1"/>
  <c r="AW47" i="1" s="1"/>
  <c r="AX48" i="1"/>
  <c r="AX49" i="1"/>
  <c r="AW49" i="1" s="1"/>
  <c r="AX50" i="1"/>
  <c r="AW50" i="1" s="1"/>
  <c r="AX51" i="1"/>
  <c r="AW51" i="1" s="1"/>
  <c r="AX52" i="1"/>
  <c r="AX53" i="1"/>
  <c r="AW53" i="1" s="1"/>
  <c r="AX54" i="1"/>
  <c r="AW54" i="1" s="1"/>
  <c r="AX55" i="1"/>
  <c r="AW55" i="1" s="1"/>
  <c r="AX56" i="1"/>
  <c r="AX57" i="1"/>
  <c r="AW57" i="1" s="1"/>
  <c r="AX39" i="1"/>
  <c r="AW39" i="1" s="1"/>
  <c r="AW40" i="1"/>
  <c r="AW44" i="1"/>
  <c r="AW48" i="1"/>
  <c r="AW52" i="1"/>
  <c r="AW56" i="1"/>
  <c r="Q19" i="1"/>
  <c r="Q18" i="1"/>
  <c r="Q17" i="1"/>
  <c r="H64" i="2" l="1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M47" i="2"/>
  <c r="L47" i="2" s="1"/>
  <c r="C47" i="2"/>
  <c r="C45" i="2"/>
  <c r="M43" i="2"/>
  <c r="L43" i="2" s="1"/>
  <c r="C43" i="2"/>
  <c r="H41" i="2"/>
  <c r="H39" i="2"/>
  <c r="G39" i="2"/>
  <c r="F39" i="2"/>
  <c r="E39" i="2"/>
  <c r="D39" i="2"/>
  <c r="C39" i="2"/>
  <c r="H37" i="2"/>
  <c r="G37" i="2"/>
  <c r="F37" i="2"/>
  <c r="E37" i="2"/>
  <c r="D37" i="2"/>
  <c r="C37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C27" i="2" s="1"/>
  <c r="F27" i="2"/>
  <c r="E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4" i="2"/>
  <c r="E24" i="2"/>
  <c r="D24" i="2"/>
  <c r="H23" i="2"/>
  <c r="G23" i="2"/>
  <c r="G24" i="2" s="1"/>
  <c r="F23" i="2"/>
  <c r="F24" i="2" s="1"/>
  <c r="E23" i="2"/>
  <c r="D23" i="2"/>
  <c r="C23" i="2"/>
  <c r="C24" i="2" s="1"/>
  <c r="H22" i="2"/>
  <c r="G22" i="2"/>
  <c r="F22" i="2"/>
  <c r="E22" i="2"/>
  <c r="D22" i="2"/>
  <c r="C22" i="2"/>
  <c r="K43" i="2" l="1"/>
  <c r="K47" i="2"/>
  <c r="AX11" i="1"/>
  <c r="AX12" i="1"/>
  <c r="AX13" i="1"/>
  <c r="AX14" i="1"/>
  <c r="AX15" i="1"/>
  <c r="AX16" i="1"/>
  <c r="AX17" i="1"/>
  <c r="AX18" i="1"/>
  <c r="AX19" i="1"/>
  <c r="AX21" i="1"/>
  <c r="AX22" i="1"/>
  <c r="AX23" i="1"/>
  <c r="AX24" i="1"/>
  <c r="AX25" i="1"/>
  <c r="AX26" i="1"/>
  <c r="AX27" i="1"/>
  <c r="AX28" i="1"/>
  <c r="AO12" i="1" l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11" i="1"/>
  <c r="W16" i="1" l="1"/>
  <c r="U16" i="1"/>
  <c r="F11" i="1"/>
  <c r="F12" i="1"/>
  <c r="F13" i="1"/>
  <c r="F14" i="1"/>
  <c r="F15" i="1"/>
  <c r="F16" i="1"/>
  <c r="F17" i="1"/>
  <c r="F18" i="1"/>
  <c r="F19" i="1"/>
  <c r="F20" i="1"/>
  <c r="F24" i="1"/>
  <c r="F25" i="1"/>
  <c r="F26" i="1"/>
  <c r="F28" i="1"/>
  <c r="BA38" i="1" l="1"/>
  <c r="AE16" i="1" l="1"/>
  <c r="E16" i="1" l="1"/>
  <c r="D16" i="1" s="1"/>
  <c r="G16" i="1"/>
  <c r="I16" i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P16" i="1"/>
  <c r="AV16" i="1"/>
  <c r="AZ16" i="1"/>
  <c r="BB16" i="1"/>
  <c r="BA16" i="1" s="1"/>
  <c r="M16" i="1" l="1"/>
  <c r="L16" i="1"/>
  <c r="J16" i="1"/>
  <c r="N16" i="1"/>
  <c r="P16" i="1"/>
  <c r="K16" i="1"/>
  <c r="O16" i="1"/>
  <c r="E27" i="1" l="1"/>
  <c r="D27" i="1" s="1"/>
  <c r="R27" i="1"/>
  <c r="S27" i="1"/>
  <c r="T27" i="1"/>
  <c r="V27" i="1"/>
  <c r="X27" i="1"/>
  <c r="Y27" i="1"/>
  <c r="Z27" i="1"/>
  <c r="AA27" i="1"/>
  <c r="AB27" i="1"/>
  <c r="AC27" i="1"/>
  <c r="AD27" i="1"/>
  <c r="AF27" i="1"/>
  <c r="AG27" i="1"/>
  <c r="AH27" i="1"/>
  <c r="AI27" i="1"/>
  <c r="AK27" i="1"/>
  <c r="AM27" i="1"/>
  <c r="AP27" i="1"/>
  <c r="AR27" i="1"/>
  <c r="AS27" i="1"/>
  <c r="AT27" i="1"/>
  <c r="AV27" i="1"/>
  <c r="AZ27" i="1"/>
  <c r="BB27" i="1"/>
  <c r="BB18" i="1" l="1"/>
  <c r="K20" i="1" l="1"/>
  <c r="L20" i="1"/>
  <c r="BB40" i="1" l="1"/>
  <c r="BA40" i="1" s="1"/>
  <c r="BB41" i="1"/>
  <c r="BA41" i="1" s="1"/>
  <c r="BB42" i="1"/>
  <c r="BA42" i="1" s="1"/>
  <c r="BB43" i="1"/>
  <c r="BA43" i="1" s="1"/>
  <c r="BB44" i="1"/>
  <c r="BA44" i="1" s="1"/>
  <c r="BB45" i="1"/>
  <c r="BA45" i="1" s="1"/>
  <c r="BB46" i="1"/>
  <c r="BA46" i="1" s="1"/>
  <c r="BB47" i="1"/>
  <c r="BA47" i="1" s="1"/>
  <c r="BB48" i="1"/>
  <c r="BA48" i="1" s="1"/>
  <c r="BB49" i="1"/>
  <c r="BA49" i="1" s="1"/>
  <c r="BB50" i="1"/>
  <c r="BA50" i="1" s="1"/>
  <c r="BB51" i="1"/>
  <c r="BA51" i="1" s="1"/>
  <c r="BB52" i="1"/>
  <c r="BA52" i="1" s="1"/>
  <c r="BB53" i="1"/>
  <c r="BA53" i="1" s="1"/>
  <c r="BB54" i="1"/>
  <c r="BA54" i="1" s="1"/>
  <c r="BB55" i="1"/>
  <c r="BA55" i="1" s="1"/>
  <c r="BB56" i="1"/>
  <c r="BA56" i="1" s="1"/>
  <c r="BB57" i="1"/>
  <c r="BA57" i="1" s="1"/>
  <c r="BB39" i="1"/>
  <c r="BA39" i="1" s="1"/>
  <c r="AR40" i="1"/>
  <c r="AQ40" i="1" s="1"/>
  <c r="AS40" i="1" s="1"/>
  <c r="AR41" i="1"/>
  <c r="AQ41" i="1" s="1"/>
  <c r="AT41" i="1" s="1"/>
  <c r="AR42" i="1"/>
  <c r="AQ42" i="1" s="1"/>
  <c r="AR43" i="1"/>
  <c r="AQ43" i="1" s="1"/>
  <c r="AT43" i="1" s="1"/>
  <c r="AR44" i="1"/>
  <c r="AQ44" i="1" s="1"/>
  <c r="AT44" i="1" s="1"/>
  <c r="AR45" i="1"/>
  <c r="AQ45" i="1" s="1"/>
  <c r="AT45" i="1" s="1"/>
  <c r="AR46" i="1"/>
  <c r="AQ46" i="1" s="1"/>
  <c r="AT46" i="1" s="1"/>
  <c r="AR47" i="1"/>
  <c r="AQ47" i="1" s="1"/>
  <c r="AT47" i="1" s="1"/>
  <c r="AR48" i="1"/>
  <c r="AQ48" i="1" s="1"/>
  <c r="AT48" i="1" s="1"/>
  <c r="AR49" i="1"/>
  <c r="AQ49" i="1" s="1"/>
  <c r="AT49" i="1" s="1"/>
  <c r="AR50" i="1"/>
  <c r="AQ50" i="1" s="1"/>
  <c r="AR51" i="1"/>
  <c r="AQ51" i="1" s="1"/>
  <c r="AS51" i="1" s="1"/>
  <c r="AR52" i="1"/>
  <c r="AQ52" i="1" s="1"/>
  <c r="AS52" i="1" s="1"/>
  <c r="AR53" i="1"/>
  <c r="AQ53" i="1" s="1"/>
  <c r="AS53" i="1" s="1"/>
  <c r="AR54" i="1"/>
  <c r="AQ54" i="1" s="1"/>
  <c r="AS54" i="1" s="1"/>
  <c r="AR55" i="1"/>
  <c r="AQ55" i="1" s="1"/>
  <c r="AS55" i="1" s="1"/>
  <c r="AR56" i="1"/>
  <c r="AQ56" i="1" s="1"/>
  <c r="AS56" i="1" s="1"/>
  <c r="AR57" i="1"/>
  <c r="AQ57" i="1" s="1"/>
  <c r="AS57" i="1" s="1"/>
  <c r="AR39" i="1"/>
  <c r="AQ39" i="1" s="1"/>
  <c r="AT39" i="1" s="1"/>
  <c r="G40" i="1"/>
  <c r="F40" i="1" s="1"/>
  <c r="G41" i="1"/>
  <c r="I41" i="1" s="1"/>
  <c r="G42" i="1"/>
  <c r="I42" i="1" s="1"/>
  <c r="G43" i="1"/>
  <c r="F43" i="1" s="1"/>
  <c r="G44" i="1"/>
  <c r="F44" i="1" s="1"/>
  <c r="G45" i="1"/>
  <c r="I45" i="1" s="1"/>
  <c r="G46" i="1"/>
  <c r="I46" i="1" s="1"/>
  <c r="G47" i="1"/>
  <c r="F47" i="1" s="1"/>
  <c r="G48" i="1"/>
  <c r="F48" i="1" s="1"/>
  <c r="G49" i="1"/>
  <c r="F49" i="1" s="1"/>
  <c r="G50" i="1"/>
  <c r="F50" i="1" s="1"/>
  <c r="G51" i="1"/>
  <c r="G52" i="1"/>
  <c r="F52" i="1" s="1"/>
  <c r="G53" i="1"/>
  <c r="F53" i="1" s="1"/>
  <c r="G54" i="1"/>
  <c r="F54" i="1" s="1"/>
  <c r="G55" i="1"/>
  <c r="I55" i="1" s="1"/>
  <c r="G56" i="1"/>
  <c r="I56" i="1" s="1"/>
  <c r="G57" i="1"/>
  <c r="I57" i="1" s="1"/>
  <c r="G39" i="1"/>
  <c r="I39" i="1" s="1"/>
  <c r="E40" i="1"/>
  <c r="D40" i="1" s="1"/>
  <c r="R40" i="1"/>
  <c r="Q40" i="1" s="1"/>
  <c r="V40" i="1"/>
  <c r="X40" i="1" s="1"/>
  <c r="W40" i="1" s="1"/>
  <c r="AF40" i="1"/>
  <c r="AE40" i="1" s="1"/>
  <c r="AK40" i="1"/>
  <c r="AJ40" i="1" s="1"/>
  <c r="AL40" i="1"/>
  <c r="AO40" i="1"/>
  <c r="AN40" i="1" s="1"/>
  <c r="AP40" i="1" s="1"/>
  <c r="AV40" i="1"/>
  <c r="AU40" i="1" s="1"/>
  <c r="AZ40" i="1"/>
  <c r="AY40" i="1" s="1"/>
  <c r="E41" i="1"/>
  <c r="D41" i="1" s="1"/>
  <c r="R41" i="1"/>
  <c r="Q41" i="1" s="1"/>
  <c r="V41" i="1"/>
  <c r="U41" i="1" s="1"/>
  <c r="AF41" i="1"/>
  <c r="AE41" i="1" s="1"/>
  <c r="AK41" i="1"/>
  <c r="AJ41" i="1" s="1"/>
  <c r="AL41" i="1"/>
  <c r="AO41" i="1"/>
  <c r="AN41" i="1" s="1"/>
  <c r="AP41" i="1" s="1"/>
  <c r="AV41" i="1"/>
  <c r="AU41" i="1" s="1"/>
  <c r="AZ41" i="1"/>
  <c r="AY41" i="1" s="1"/>
  <c r="E42" i="1"/>
  <c r="D42" i="1" s="1"/>
  <c r="R42" i="1"/>
  <c r="Q42" i="1" s="1"/>
  <c r="V42" i="1"/>
  <c r="X42" i="1" s="1"/>
  <c r="W42" i="1" s="1"/>
  <c r="AF42" i="1"/>
  <c r="AE42" i="1" s="1"/>
  <c r="AK42" i="1"/>
  <c r="AJ42" i="1" s="1"/>
  <c r="AL42" i="1"/>
  <c r="AO42" i="1"/>
  <c r="AN42" i="1" s="1"/>
  <c r="AP42" i="1" s="1"/>
  <c r="AV42" i="1"/>
  <c r="AU42" i="1" s="1"/>
  <c r="AZ42" i="1"/>
  <c r="AY42" i="1" s="1"/>
  <c r="E43" i="1"/>
  <c r="D43" i="1" s="1"/>
  <c r="R43" i="1"/>
  <c r="Q43" i="1" s="1"/>
  <c r="S43" i="1" s="1"/>
  <c r="V43" i="1"/>
  <c r="U43" i="1" s="1"/>
  <c r="AF43" i="1"/>
  <c r="AE43" i="1" s="1"/>
  <c r="AK43" i="1"/>
  <c r="AJ43" i="1" s="1"/>
  <c r="AL43" i="1"/>
  <c r="AO43" i="1"/>
  <c r="AN43" i="1" s="1"/>
  <c r="AP43" i="1" s="1"/>
  <c r="AV43" i="1"/>
  <c r="AU43" i="1" s="1"/>
  <c r="AZ43" i="1"/>
  <c r="AY43" i="1" s="1"/>
  <c r="E44" i="1"/>
  <c r="D44" i="1" s="1"/>
  <c r="R44" i="1"/>
  <c r="Q44" i="1" s="1"/>
  <c r="S44" i="1" s="1"/>
  <c r="V44" i="1"/>
  <c r="U44" i="1" s="1"/>
  <c r="AF44" i="1"/>
  <c r="AE44" i="1" s="1"/>
  <c r="AH44" i="1" s="1"/>
  <c r="AK44" i="1"/>
  <c r="AJ44" i="1" s="1"/>
  <c r="AL44" i="1"/>
  <c r="AO44" i="1"/>
  <c r="AN44" i="1" s="1"/>
  <c r="AP44" i="1" s="1"/>
  <c r="AV44" i="1"/>
  <c r="AU44" i="1" s="1"/>
  <c r="AZ44" i="1"/>
  <c r="AY44" i="1" s="1"/>
  <c r="E45" i="1"/>
  <c r="D45" i="1" s="1"/>
  <c r="R45" i="1"/>
  <c r="Q45" i="1" s="1"/>
  <c r="S45" i="1" s="1"/>
  <c r="V45" i="1"/>
  <c r="U45" i="1" s="1"/>
  <c r="AF45" i="1"/>
  <c r="AE45" i="1" s="1"/>
  <c r="AH45" i="1" s="1"/>
  <c r="AK45" i="1"/>
  <c r="AJ45" i="1" s="1"/>
  <c r="AL45" i="1"/>
  <c r="AO45" i="1"/>
  <c r="AN45" i="1" s="1"/>
  <c r="AP45" i="1" s="1"/>
  <c r="AV45" i="1"/>
  <c r="AU45" i="1" s="1"/>
  <c r="AZ45" i="1"/>
  <c r="AY45" i="1" s="1"/>
  <c r="E46" i="1"/>
  <c r="D46" i="1" s="1"/>
  <c r="R46" i="1"/>
  <c r="Q46" i="1" s="1"/>
  <c r="S46" i="1" s="1"/>
  <c r="V46" i="1"/>
  <c r="U46" i="1" s="1"/>
  <c r="AF46" i="1"/>
  <c r="AE46" i="1" s="1"/>
  <c r="AH46" i="1" s="1"/>
  <c r="AK46" i="1"/>
  <c r="AJ46" i="1" s="1"/>
  <c r="AL46" i="1"/>
  <c r="AO46" i="1"/>
  <c r="AN46" i="1" s="1"/>
  <c r="AP46" i="1" s="1"/>
  <c r="AV46" i="1"/>
  <c r="AU46" i="1" s="1"/>
  <c r="AZ46" i="1"/>
  <c r="AY46" i="1" s="1"/>
  <c r="E47" i="1"/>
  <c r="D47" i="1" s="1"/>
  <c r="R47" i="1"/>
  <c r="Q47" i="1" s="1"/>
  <c r="S47" i="1" s="1"/>
  <c r="V47" i="1"/>
  <c r="U47" i="1" s="1"/>
  <c r="AF47" i="1"/>
  <c r="AE47" i="1" s="1"/>
  <c r="AH47" i="1" s="1"/>
  <c r="AK47" i="1"/>
  <c r="AJ47" i="1" s="1"/>
  <c r="AL47" i="1"/>
  <c r="AO47" i="1"/>
  <c r="AN47" i="1" s="1"/>
  <c r="AP47" i="1" s="1"/>
  <c r="AV47" i="1"/>
  <c r="AU47" i="1" s="1"/>
  <c r="AZ47" i="1"/>
  <c r="AY47" i="1" s="1"/>
  <c r="E48" i="1"/>
  <c r="D48" i="1" s="1"/>
  <c r="R48" i="1"/>
  <c r="Q48" i="1" s="1"/>
  <c r="S48" i="1" s="1"/>
  <c r="V48" i="1"/>
  <c r="U48" i="1" s="1"/>
  <c r="AF48" i="1"/>
  <c r="AE48" i="1" s="1"/>
  <c r="AH48" i="1" s="1"/>
  <c r="AK48" i="1"/>
  <c r="AJ48" i="1" s="1"/>
  <c r="AL48" i="1"/>
  <c r="AO48" i="1"/>
  <c r="AN48" i="1" s="1"/>
  <c r="AP48" i="1" s="1"/>
  <c r="AV48" i="1"/>
  <c r="AU48" i="1" s="1"/>
  <c r="AZ48" i="1"/>
  <c r="AY48" i="1" s="1"/>
  <c r="E49" i="1"/>
  <c r="D49" i="1" s="1"/>
  <c r="R49" i="1"/>
  <c r="Q49" i="1" s="1"/>
  <c r="S49" i="1" s="1"/>
  <c r="V49" i="1"/>
  <c r="U49" i="1" s="1"/>
  <c r="AF49" i="1"/>
  <c r="AE49" i="1" s="1"/>
  <c r="AI49" i="1" s="1"/>
  <c r="AK49" i="1"/>
  <c r="AJ49" i="1" s="1"/>
  <c r="AL49" i="1"/>
  <c r="AO49" i="1"/>
  <c r="AN49" i="1" s="1"/>
  <c r="AP49" i="1" s="1"/>
  <c r="AV49" i="1"/>
  <c r="AU49" i="1" s="1"/>
  <c r="AZ49" i="1"/>
  <c r="AY49" i="1" s="1"/>
  <c r="E50" i="1"/>
  <c r="D50" i="1" s="1"/>
  <c r="R50" i="1"/>
  <c r="Q50" i="1" s="1"/>
  <c r="S50" i="1" s="1"/>
  <c r="V50" i="1"/>
  <c r="U50" i="1" s="1"/>
  <c r="AF50" i="1"/>
  <c r="AE50" i="1" s="1"/>
  <c r="AK50" i="1"/>
  <c r="AJ50" i="1" s="1"/>
  <c r="AL50" i="1"/>
  <c r="AO50" i="1"/>
  <c r="AN50" i="1" s="1"/>
  <c r="AP50" i="1" s="1"/>
  <c r="AV50" i="1"/>
  <c r="AU50" i="1" s="1"/>
  <c r="AZ50" i="1"/>
  <c r="AY50" i="1" s="1"/>
  <c r="E51" i="1"/>
  <c r="D51" i="1" s="1"/>
  <c r="R51" i="1"/>
  <c r="Q51" i="1" s="1"/>
  <c r="V51" i="1"/>
  <c r="X51" i="1" s="1"/>
  <c r="W51" i="1" s="1"/>
  <c r="Z51" i="1" s="1"/>
  <c r="AF51" i="1"/>
  <c r="AE51" i="1" s="1"/>
  <c r="AK51" i="1"/>
  <c r="AJ51" i="1" s="1"/>
  <c r="AL51" i="1"/>
  <c r="AO51" i="1"/>
  <c r="AN51" i="1" s="1"/>
  <c r="AP51" i="1" s="1"/>
  <c r="AV51" i="1"/>
  <c r="AU51" i="1" s="1"/>
  <c r="AZ51" i="1"/>
  <c r="AY51" i="1" s="1"/>
  <c r="E52" i="1"/>
  <c r="D52" i="1" s="1"/>
  <c r="R52" i="1"/>
  <c r="Q52" i="1" s="1"/>
  <c r="V52" i="1"/>
  <c r="X52" i="1" s="1"/>
  <c r="W52" i="1" s="1"/>
  <c r="AF52" i="1"/>
  <c r="AE52" i="1" s="1"/>
  <c r="AG52" i="1" s="1"/>
  <c r="AK52" i="1"/>
  <c r="AJ52" i="1" s="1"/>
  <c r="AL52" i="1"/>
  <c r="AO52" i="1"/>
  <c r="AN52" i="1" s="1"/>
  <c r="AP52" i="1" s="1"/>
  <c r="AV52" i="1"/>
  <c r="AU52" i="1" s="1"/>
  <c r="AZ52" i="1"/>
  <c r="AY52" i="1" s="1"/>
  <c r="E53" i="1"/>
  <c r="D53" i="1" s="1"/>
  <c r="R53" i="1"/>
  <c r="Q53" i="1" s="1"/>
  <c r="T53" i="1" s="1"/>
  <c r="V53" i="1"/>
  <c r="X53" i="1" s="1"/>
  <c r="W53" i="1" s="1"/>
  <c r="AF53" i="1"/>
  <c r="AE53" i="1" s="1"/>
  <c r="AG53" i="1" s="1"/>
  <c r="AK53" i="1"/>
  <c r="AJ53" i="1" s="1"/>
  <c r="AL53" i="1"/>
  <c r="AO53" i="1"/>
  <c r="AN53" i="1" s="1"/>
  <c r="AP53" i="1" s="1"/>
  <c r="AV53" i="1"/>
  <c r="AU53" i="1" s="1"/>
  <c r="AZ53" i="1"/>
  <c r="AY53" i="1" s="1"/>
  <c r="E54" i="1"/>
  <c r="D54" i="1" s="1"/>
  <c r="R54" i="1"/>
  <c r="Q54" i="1" s="1"/>
  <c r="T54" i="1" s="1"/>
  <c r="V54" i="1"/>
  <c r="X54" i="1" s="1"/>
  <c r="W54" i="1" s="1"/>
  <c r="AF54" i="1"/>
  <c r="AE54" i="1" s="1"/>
  <c r="AK54" i="1"/>
  <c r="AJ54" i="1" s="1"/>
  <c r="AL54" i="1"/>
  <c r="AO54" i="1"/>
  <c r="AN54" i="1" s="1"/>
  <c r="AP54" i="1" s="1"/>
  <c r="AV54" i="1"/>
  <c r="AU54" i="1" s="1"/>
  <c r="AZ54" i="1"/>
  <c r="AY54" i="1" s="1"/>
  <c r="E55" i="1"/>
  <c r="D55" i="1" s="1"/>
  <c r="R55" i="1"/>
  <c r="Q55" i="1" s="1"/>
  <c r="V55" i="1"/>
  <c r="U55" i="1" s="1"/>
  <c r="AF55" i="1"/>
  <c r="AE55" i="1" s="1"/>
  <c r="AK55" i="1"/>
  <c r="AJ55" i="1" s="1"/>
  <c r="AL55" i="1"/>
  <c r="AO55" i="1"/>
  <c r="AN55" i="1" s="1"/>
  <c r="AP55" i="1" s="1"/>
  <c r="AV55" i="1"/>
  <c r="AU55" i="1" s="1"/>
  <c r="AZ55" i="1"/>
  <c r="AY55" i="1" s="1"/>
  <c r="E56" i="1"/>
  <c r="D56" i="1" s="1"/>
  <c r="R56" i="1"/>
  <c r="Q56" i="1" s="1"/>
  <c r="T56" i="1" s="1"/>
  <c r="V56" i="1"/>
  <c r="X56" i="1" s="1"/>
  <c r="W56" i="1" s="1"/>
  <c r="AF56" i="1"/>
  <c r="AE56" i="1" s="1"/>
  <c r="AK56" i="1"/>
  <c r="AJ56" i="1" s="1"/>
  <c r="AL56" i="1"/>
  <c r="AO56" i="1"/>
  <c r="AN56" i="1" s="1"/>
  <c r="AP56" i="1" s="1"/>
  <c r="AV56" i="1"/>
  <c r="AU56" i="1" s="1"/>
  <c r="AZ56" i="1"/>
  <c r="AY56" i="1" s="1"/>
  <c r="E57" i="1"/>
  <c r="D57" i="1" s="1"/>
  <c r="R57" i="1"/>
  <c r="Q57" i="1" s="1"/>
  <c r="S57" i="1" s="1"/>
  <c r="V57" i="1"/>
  <c r="X57" i="1" s="1"/>
  <c r="W57" i="1" s="1"/>
  <c r="AF57" i="1"/>
  <c r="AE57" i="1" s="1"/>
  <c r="AK57" i="1"/>
  <c r="AJ57" i="1" s="1"/>
  <c r="AL57" i="1"/>
  <c r="AO57" i="1"/>
  <c r="AN57" i="1" s="1"/>
  <c r="AP57" i="1" s="1"/>
  <c r="AV57" i="1"/>
  <c r="AU57" i="1" s="1"/>
  <c r="AZ57" i="1"/>
  <c r="AY57" i="1" s="1"/>
  <c r="AZ39" i="1"/>
  <c r="AY39" i="1" s="1"/>
  <c r="AV39" i="1"/>
  <c r="AU39" i="1" s="1"/>
  <c r="AO39" i="1"/>
  <c r="AN39" i="1" s="1"/>
  <c r="AP39" i="1" s="1"/>
  <c r="AK39" i="1"/>
  <c r="AJ39" i="1" s="1"/>
  <c r="AF39" i="1"/>
  <c r="AC28" i="1"/>
  <c r="V39" i="1"/>
  <c r="X39" i="1" s="1"/>
  <c r="R39" i="1"/>
  <c r="Q39" i="1" s="1"/>
  <c r="T39" i="1" s="1"/>
  <c r="I54" i="1" l="1"/>
  <c r="L54" i="1" s="1"/>
  <c r="I50" i="1"/>
  <c r="K50" i="1" s="1"/>
  <c r="F42" i="1"/>
  <c r="F46" i="1"/>
  <c r="F39" i="1"/>
  <c r="F55" i="1"/>
  <c r="I43" i="1"/>
  <c r="O43" i="1" s="1"/>
  <c r="I47" i="1"/>
  <c r="H47" i="1" s="1"/>
  <c r="I48" i="1"/>
  <c r="M48" i="1" s="1"/>
  <c r="K57" i="1"/>
  <c r="L57" i="1"/>
  <c r="K45" i="1"/>
  <c r="L45" i="1"/>
  <c r="M42" i="1"/>
  <c r="L42" i="1"/>
  <c r="K42" i="1"/>
  <c r="M56" i="1"/>
  <c r="K56" i="1"/>
  <c r="L56" i="1"/>
  <c r="K41" i="1"/>
  <c r="L41" i="1"/>
  <c r="O55" i="1"/>
  <c r="K55" i="1"/>
  <c r="L55" i="1"/>
  <c r="H39" i="1"/>
  <c r="K39" i="1"/>
  <c r="L39" i="1"/>
  <c r="K46" i="1"/>
  <c r="L46" i="1"/>
  <c r="F56" i="1"/>
  <c r="I52" i="1"/>
  <c r="J52" i="1" s="1"/>
  <c r="I44" i="1"/>
  <c r="P44" i="1" s="1"/>
  <c r="F41" i="1"/>
  <c r="M55" i="1"/>
  <c r="I49" i="1"/>
  <c r="M49" i="1" s="1"/>
  <c r="T46" i="1"/>
  <c r="F45" i="1"/>
  <c r="U52" i="1"/>
  <c r="U51" i="1"/>
  <c r="X50" i="1"/>
  <c r="W50" i="1" s="1"/>
  <c r="AB50" i="1" s="1"/>
  <c r="P42" i="1"/>
  <c r="X41" i="1"/>
  <c r="W41" i="1" s="1"/>
  <c r="AB41" i="1" s="1"/>
  <c r="S39" i="1"/>
  <c r="F57" i="1"/>
  <c r="AT54" i="1"/>
  <c r="Z28" i="1"/>
  <c r="T55" i="1"/>
  <c r="S55" i="1"/>
  <c r="H45" i="1"/>
  <c r="N45" i="1"/>
  <c r="AA53" i="1"/>
  <c r="AC53" i="1"/>
  <c r="Y53" i="1"/>
  <c r="AD28" i="1"/>
  <c r="X55" i="1"/>
  <c r="W55" i="1" s="1"/>
  <c r="AA55" i="1" s="1"/>
  <c r="U53" i="1"/>
  <c r="AC51" i="1"/>
  <c r="X44" i="1"/>
  <c r="W44" i="1" s="1"/>
  <c r="Z44" i="1" s="1"/>
  <c r="X43" i="1"/>
  <c r="W43" i="1" s="1"/>
  <c r="AB43" i="1" s="1"/>
  <c r="N42" i="1"/>
  <c r="AB28" i="1"/>
  <c r="S56" i="1"/>
  <c r="Y51" i="1"/>
  <c r="Y28" i="1"/>
  <c r="AA28" i="1"/>
  <c r="AS48" i="1"/>
  <c r="AS43" i="1"/>
  <c r="AC57" i="1"/>
  <c r="Y57" i="1"/>
  <c r="AA57" i="1"/>
  <c r="AB57" i="1"/>
  <c r="AG50" i="1"/>
  <c r="AI50" i="1"/>
  <c r="AH56" i="1"/>
  <c r="AH51" i="1"/>
  <c r="AG51" i="1"/>
  <c r="AI51" i="1"/>
  <c r="T52" i="1"/>
  <c r="S52" i="1"/>
  <c r="AG54" i="1"/>
  <c r="AI54" i="1"/>
  <c r="S54" i="1"/>
  <c r="U56" i="1"/>
  <c r="AT52" i="1"/>
  <c r="AA51" i="1"/>
  <c r="T50" i="1"/>
  <c r="AH49" i="1"/>
  <c r="P45" i="1"/>
  <c r="AS44" i="1"/>
  <c r="AS41" i="1"/>
  <c r="AT57" i="1"/>
  <c r="U57" i="1"/>
  <c r="U54" i="1"/>
  <c r="AI52" i="1"/>
  <c r="AS47" i="1"/>
  <c r="T45" i="1"/>
  <c r="J45" i="1"/>
  <c r="AT53" i="1"/>
  <c r="AS49" i="1"/>
  <c r="AS39" i="1"/>
  <c r="M46" i="1"/>
  <c r="J46" i="1"/>
  <c r="N46" i="1"/>
  <c r="O46" i="1"/>
  <c r="H46" i="1"/>
  <c r="P46" i="1"/>
  <c r="J42" i="1"/>
  <c r="I40" i="1"/>
  <c r="O42" i="1"/>
  <c r="H42" i="1"/>
  <c r="AH57" i="1"/>
  <c r="AG57" i="1"/>
  <c r="AI57" i="1"/>
  <c r="AB56" i="1"/>
  <c r="Z56" i="1"/>
  <c r="AD56" i="1"/>
  <c r="AA56" i="1"/>
  <c r="AC56" i="1"/>
  <c r="Y56" i="1"/>
  <c r="AB54" i="1"/>
  <c r="Z54" i="1"/>
  <c r="AD54" i="1"/>
  <c r="AC54" i="1"/>
  <c r="Y54" i="1"/>
  <c r="AA54" i="1"/>
  <c r="H57" i="1"/>
  <c r="N57" i="1"/>
  <c r="O57" i="1"/>
  <c r="P57" i="1"/>
  <c r="J57" i="1"/>
  <c r="M57" i="1"/>
  <c r="AB52" i="1"/>
  <c r="Z52" i="1"/>
  <c r="AD52" i="1"/>
  <c r="Y52" i="1"/>
  <c r="AA52" i="1"/>
  <c r="AC52" i="1"/>
  <c r="AT51" i="1"/>
  <c r="J56" i="1"/>
  <c r="P56" i="1"/>
  <c r="H56" i="1"/>
  <c r="N56" i="1"/>
  <c r="AH55" i="1"/>
  <c r="I51" i="1"/>
  <c r="F51" i="1"/>
  <c r="T57" i="1"/>
  <c r="AI56" i="1"/>
  <c r="AI55" i="1"/>
  <c r="H55" i="1"/>
  <c r="N55" i="1"/>
  <c r="J55" i="1"/>
  <c r="P55" i="1"/>
  <c r="AH54" i="1"/>
  <c r="AH53" i="1"/>
  <c r="S53" i="1"/>
  <c r="AS50" i="1"/>
  <c r="AT50" i="1"/>
  <c r="Z57" i="1"/>
  <c r="AD57" i="1"/>
  <c r="AT56" i="1"/>
  <c r="AG56" i="1"/>
  <c r="O56" i="1"/>
  <c r="AT55" i="1"/>
  <c r="AG55" i="1"/>
  <c r="AI53" i="1"/>
  <c r="Z53" i="1"/>
  <c r="AD53" i="1"/>
  <c r="AB53" i="1"/>
  <c r="I53" i="1"/>
  <c r="AH52" i="1"/>
  <c r="S51" i="1"/>
  <c r="T51" i="1"/>
  <c r="AB51" i="1"/>
  <c r="AH50" i="1"/>
  <c r="AG49" i="1"/>
  <c r="T49" i="1"/>
  <c r="AI48" i="1"/>
  <c r="AG48" i="1"/>
  <c r="X48" i="1"/>
  <c r="W48" i="1" s="1"/>
  <c r="AG47" i="1"/>
  <c r="AI47" i="1"/>
  <c r="X47" i="1"/>
  <c r="W47" i="1" s="1"/>
  <c r="AI44" i="1"/>
  <c r="AG44" i="1"/>
  <c r="Z42" i="1"/>
  <c r="AD42" i="1"/>
  <c r="AA42" i="1"/>
  <c r="AB42" i="1"/>
  <c r="Y42" i="1"/>
  <c r="AC42" i="1"/>
  <c r="AG41" i="1"/>
  <c r="AH41" i="1"/>
  <c r="AI41" i="1"/>
  <c r="J41" i="1"/>
  <c r="P41" i="1"/>
  <c r="M41" i="1"/>
  <c r="H41" i="1"/>
  <c r="N41" i="1"/>
  <c r="O41" i="1"/>
  <c r="Z40" i="1"/>
  <c r="AD40" i="1"/>
  <c r="AA40" i="1"/>
  <c r="AB40" i="1"/>
  <c r="Y40" i="1"/>
  <c r="AC40" i="1"/>
  <c r="S42" i="1"/>
  <c r="T42" i="1"/>
  <c r="S40" i="1"/>
  <c r="T40" i="1"/>
  <c r="AD51" i="1"/>
  <c r="X49" i="1"/>
  <c r="W49" i="1" s="1"/>
  <c r="T48" i="1"/>
  <c r="T47" i="1"/>
  <c r="AS46" i="1"/>
  <c r="AI46" i="1"/>
  <c r="AG46" i="1"/>
  <c r="X46" i="1"/>
  <c r="W46" i="1" s="1"/>
  <c r="AS45" i="1"/>
  <c r="AG45" i="1"/>
  <c r="AI45" i="1"/>
  <c r="X45" i="1"/>
  <c r="W45" i="1" s="1"/>
  <c r="M45" i="1"/>
  <c r="O45" i="1"/>
  <c r="T44" i="1"/>
  <c r="AS42" i="1"/>
  <c r="AT42" i="1"/>
  <c r="AG43" i="1"/>
  <c r="AH43" i="1"/>
  <c r="AI43" i="1"/>
  <c r="T43" i="1"/>
  <c r="AH42" i="1"/>
  <c r="AI42" i="1"/>
  <c r="AG42" i="1"/>
  <c r="T41" i="1"/>
  <c r="S41" i="1"/>
  <c r="AH40" i="1"/>
  <c r="AI40" i="1"/>
  <c r="AG40" i="1"/>
  <c r="U42" i="1"/>
  <c r="AT40" i="1"/>
  <c r="U40" i="1"/>
  <c r="U39" i="1"/>
  <c r="BB28" i="1"/>
  <c r="BA28" i="1" s="1"/>
  <c r="BB19" i="1"/>
  <c r="BA19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AS12" i="1"/>
  <c r="AT12" i="1"/>
  <c r="AS13" i="1"/>
  <c r="AT13" i="1"/>
  <c r="AS14" i="1"/>
  <c r="AT14" i="1"/>
  <c r="AS15" i="1"/>
  <c r="AT15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R11" i="1"/>
  <c r="AP11" i="1"/>
  <c r="AP12" i="1"/>
  <c r="AP13" i="1"/>
  <c r="AP14" i="1"/>
  <c r="AP15" i="1"/>
  <c r="AP17" i="1"/>
  <c r="AP18" i="1"/>
  <c r="AP19" i="1"/>
  <c r="AP20" i="1"/>
  <c r="AP21" i="1"/>
  <c r="AP22" i="1"/>
  <c r="AP23" i="1"/>
  <c r="AP24" i="1"/>
  <c r="AP25" i="1"/>
  <c r="AP26" i="1"/>
  <c r="AP28" i="1"/>
  <c r="AA20" i="1"/>
  <c r="Y26" i="1"/>
  <c r="AA12" i="1"/>
  <c r="Z13" i="1"/>
  <c r="AA14" i="1"/>
  <c r="Z15" i="1"/>
  <c r="AA17" i="1"/>
  <c r="Z18" i="1"/>
  <c r="AA19" i="1"/>
  <c r="Z20" i="1"/>
  <c r="X21" i="1"/>
  <c r="Z22" i="1"/>
  <c r="X23" i="1"/>
  <c r="Z24" i="1"/>
  <c r="X25" i="1"/>
  <c r="Z26" i="1"/>
  <c r="X28" i="1"/>
  <c r="X11" i="1"/>
  <c r="T11" i="1"/>
  <c r="T12" i="1"/>
  <c r="T13" i="1"/>
  <c r="T14" i="1"/>
  <c r="T15" i="1"/>
  <c r="T20" i="1"/>
  <c r="T21" i="1"/>
  <c r="T22" i="1"/>
  <c r="T23" i="1"/>
  <c r="T24" i="1"/>
  <c r="T25" i="1"/>
  <c r="T26" i="1"/>
  <c r="T28" i="1"/>
  <c r="S12" i="1"/>
  <c r="S13" i="1"/>
  <c r="S14" i="1"/>
  <c r="S15" i="1"/>
  <c r="S20" i="1"/>
  <c r="S21" i="1"/>
  <c r="S22" i="1"/>
  <c r="S23" i="1"/>
  <c r="S24" i="1"/>
  <c r="S25" i="1"/>
  <c r="S26" i="1"/>
  <c r="S28" i="1"/>
  <c r="S11" i="1"/>
  <c r="BB26" i="1"/>
  <c r="BB25" i="1"/>
  <c r="BB24" i="1"/>
  <c r="BB23" i="1"/>
  <c r="BB22" i="1"/>
  <c r="BB21" i="1"/>
  <c r="AZ28" i="1"/>
  <c r="AZ26" i="1"/>
  <c r="AZ25" i="1"/>
  <c r="AZ24" i="1"/>
  <c r="AZ23" i="1"/>
  <c r="AZ22" i="1"/>
  <c r="AZ21" i="1"/>
  <c r="AZ19" i="1"/>
  <c r="AZ18" i="1"/>
  <c r="AZ17" i="1"/>
  <c r="AZ15" i="1"/>
  <c r="AZ14" i="1"/>
  <c r="AZ13" i="1"/>
  <c r="AZ12" i="1"/>
  <c r="AZ11" i="1"/>
  <c r="AV26" i="1"/>
  <c r="AV25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28" i="1" s="1"/>
  <c r="AR28" i="1"/>
  <c r="AR26" i="1"/>
  <c r="AR25" i="1"/>
  <c r="AR24" i="1"/>
  <c r="AR23" i="1"/>
  <c r="AR22" i="1"/>
  <c r="AR21" i="1"/>
  <c r="AR15" i="1"/>
  <c r="AR14" i="1"/>
  <c r="AR13" i="1"/>
  <c r="AR12" i="1"/>
  <c r="AM28" i="1"/>
  <c r="AM26" i="1"/>
  <c r="AM25" i="1"/>
  <c r="AM24" i="1"/>
  <c r="AM23" i="1"/>
  <c r="AM22" i="1"/>
  <c r="AM21" i="1"/>
  <c r="AM19" i="1"/>
  <c r="AM18" i="1"/>
  <c r="AM17" i="1"/>
  <c r="AM15" i="1"/>
  <c r="AM14" i="1"/>
  <c r="AM13" i="1"/>
  <c r="AM12" i="1"/>
  <c r="AK28" i="1"/>
  <c r="AK26" i="1"/>
  <c r="AK25" i="1"/>
  <c r="AK24" i="1"/>
  <c r="AK23" i="1"/>
  <c r="AK22" i="1"/>
  <c r="AK21" i="1"/>
  <c r="AK19" i="1"/>
  <c r="AK18" i="1"/>
  <c r="AK17" i="1"/>
  <c r="AK15" i="1"/>
  <c r="AK14" i="1"/>
  <c r="AK13" i="1"/>
  <c r="AK12" i="1"/>
  <c r="AK11" i="1"/>
  <c r="AF28" i="1"/>
  <c r="AF26" i="1"/>
  <c r="AF25" i="1"/>
  <c r="AF24" i="1"/>
  <c r="AF23" i="1"/>
  <c r="AF22" i="1"/>
  <c r="AF21" i="1"/>
  <c r="AF15" i="1"/>
  <c r="AF14" i="1"/>
  <c r="AF13" i="1"/>
  <c r="AF12" i="1"/>
  <c r="AF11" i="1"/>
  <c r="X26" i="1"/>
  <c r="X24" i="1"/>
  <c r="X22" i="1"/>
  <c r="X19" i="1"/>
  <c r="X15" i="1"/>
  <c r="X14" i="1"/>
  <c r="X13" i="1"/>
  <c r="V28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R12" i="1"/>
  <c r="R13" i="1"/>
  <c r="R14" i="1"/>
  <c r="R15" i="1"/>
  <c r="R21" i="1"/>
  <c r="R22" i="1"/>
  <c r="R23" i="1"/>
  <c r="R24" i="1"/>
  <c r="R25" i="1"/>
  <c r="R26" i="1"/>
  <c r="R28" i="1"/>
  <c r="R11" i="1"/>
  <c r="R19" i="1" s="1"/>
  <c r="G12" i="1"/>
  <c r="G13" i="1"/>
  <c r="G14" i="1"/>
  <c r="G15" i="1"/>
  <c r="G17" i="1"/>
  <c r="G18" i="1"/>
  <c r="G19" i="1"/>
  <c r="G24" i="1"/>
  <c r="G25" i="1"/>
  <c r="G26" i="1"/>
  <c r="G28" i="1"/>
  <c r="G11" i="1"/>
  <c r="AR19" i="1" l="1"/>
  <c r="AQ17" i="1"/>
  <c r="AQ19" i="1"/>
  <c r="AQ20" i="1"/>
  <c r="AQ18" i="1"/>
  <c r="AR17" i="1"/>
  <c r="AR18" i="1"/>
  <c r="P54" i="1"/>
  <c r="M54" i="1"/>
  <c r="R17" i="1"/>
  <c r="R18" i="1"/>
  <c r="Q16" i="1" s="1"/>
  <c r="H54" i="1"/>
  <c r="J54" i="1"/>
  <c r="N54" i="1"/>
  <c r="O54" i="1"/>
  <c r="O48" i="1"/>
  <c r="M50" i="1"/>
  <c r="P48" i="1"/>
  <c r="K54" i="1"/>
  <c r="P50" i="1"/>
  <c r="N50" i="1"/>
  <c r="L50" i="1"/>
  <c r="Y55" i="1"/>
  <c r="J50" i="1"/>
  <c r="O50" i="1"/>
  <c r="H50" i="1"/>
  <c r="N48" i="1"/>
  <c r="J48" i="1"/>
  <c r="L48" i="1"/>
  <c r="K48" i="1"/>
  <c r="H43" i="1"/>
  <c r="L43" i="1"/>
  <c r="J47" i="1"/>
  <c r="K43" i="1"/>
  <c r="N43" i="1"/>
  <c r="M43" i="1"/>
  <c r="P43" i="1"/>
  <c r="N44" i="1"/>
  <c r="J43" i="1"/>
  <c r="M47" i="1"/>
  <c r="O44" i="1"/>
  <c r="L47" i="1"/>
  <c r="K47" i="1"/>
  <c r="O47" i="1"/>
  <c r="N47" i="1"/>
  <c r="H48" i="1"/>
  <c r="P47" i="1"/>
  <c r="H52" i="1"/>
  <c r="P52" i="1"/>
  <c r="N52" i="1"/>
  <c r="K51" i="1"/>
  <c r="L51" i="1"/>
  <c r="AD55" i="1"/>
  <c r="N49" i="1"/>
  <c r="K49" i="1"/>
  <c r="L49" i="1"/>
  <c r="M44" i="1"/>
  <c r="K44" i="1"/>
  <c r="L44" i="1"/>
  <c r="K53" i="1"/>
  <c r="L53" i="1"/>
  <c r="Z55" i="1"/>
  <c r="K40" i="1"/>
  <c r="L40" i="1"/>
  <c r="O52" i="1"/>
  <c r="K52" i="1"/>
  <c r="L52" i="1"/>
  <c r="AF17" i="1"/>
  <c r="AF18" i="1"/>
  <c r="AF19" i="1"/>
  <c r="Z41" i="1"/>
  <c r="M52" i="1"/>
  <c r="J44" i="1"/>
  <c r="H44" i="1"/>
  <c r="AC50" i="1"/>
  <c r="AB55" i="1"/>
  <c r="AD50" i="1"/>
  <c r="AC41" i="1"/>
  <c r="AA41" i="1"/>
  <c r="Y41" i="1"/>
  <c r="P49" i="1"/>
  <c r="J49" i="1"/>
  <c r="O49" i="1"/>
  <c r="AD41" i="1"/>
  <c r="Z43" i="1"/>
  <c r="H49" i="1"/>
  <c r="AC55" i="1"/>
  <c r="Y44" i="1"/>
  <c r="AA50" i="1"/>
  <c r="Y50" i="1"/>
  <c r="Z50" i="1"/>
  <c r="AA44" i="1"/>
  <c r="AB44" i="1"/>
  <c r="AD44" i="1"/>
  <c r="AC44" i="1"/>
  <c r="AA24" i="1"/>
  <c r="AC22" i="1"/>
  <c r="AC26" i="1"/>
  <c r="Y22" i="1"/>
  <c r="AC18" i="1"/>
  <c r="Y13" i="1"/>
  <c r="AC13" i="1"/>
  <c r="AB11" i="1"/>
  <c r="Y18" i="1"/>
  <c r="X18" i="1"/>
  <c r="AA15" i="1"/>
  <c r="X12" i="1"/>
  <c r="X17" i="1"/>
  <c r="Z11" i="1"/>
  <c r="AA26" i="1"/>
  <c r="Y24" i="1"/>
  <c r="AC20" i="1"/>
  <c r="AA18" i="1"/>
  <c r="Y15" i="1"/>
  <c r="AC43" i="1"/>
  <c r="AA43" i="1"/>
  <c r="Y43" i="1"/>
  <c r="AD11" i="1"/>
  <c r="AC24" i="1"/>
  <c r="AA22" i="1"/>
  <c r="Y20" i="1"/>
  <c r="AC15" i="1"/>
  <c r="AA13" i="1"/>
  <c r="AD43" i="1"/>
  <c r="T19" i="1"/>
  <c r="Y11" i="1"/>
  <c r="AC11" i="1"/>
  <c r="AB26" i="1"/>
  <c r="AD25" i="1"/>
  <c r="Z25" i="1"/>
  <c r="AB24" i="1"/>
  <c r="AD23" i="1"/>
  <c r="Z23" i="1"/>
  <c r="AB22" i="1"/>
  <c r="AD21" i="1"/>
  <c r="Z21" i="1"/>
  <c r="AB20" i="1"/>
  <c r="AD19" i="1"/>
  <c r="Z19" i="1"/>
  <c r="AB18" i="1"/>
  <c r="AD17" i="1"/>
  <c r="Z17" i="1"/>
  <c r="AB15" i="1"/>
  <c r="AD14" i="1"/>
  <c r="Z14" i="1"/>
  <c r="AB13" i="1"/>
  <c r="AD12" i="1"/>
  <c r="Z12" i="1"/>
  <c r="S19" i="1"/>
  <c r="AC25" i="1"/>
  <c r="Y25" i="1"/>
  <c r="AC23" i="1"/>
  <c r="Y23" i="1"/>
  <c r="AC21" i="1"/>
  <c r="Y21" i="1"/>
  <c r="AC19" i="1"/>
  <c r="Y19" i="1"/>
  <c r="AC17" i="1"/>
  <c r="Y17" i="1"/>
  <c r="AC14" i="1"/>
  <c r="Y14" i="1"/>
  <c r="AC12" i="1"/>
  <c r="Y12" i="1"/>
  <c r="AA11" i="1"/>
  <c r="AD26" i="1"/>
  <c r="AB25" i="1"/>
  <c r="AD24" i="1"/>
  <c r="AB23" i="1"/>
  <c r="AD22" i="1"/>
  <c r="AB21" i="1"/>
  <c r="AD20" i="1"/>
  <c r="AB19" i="1"/>
  <c r="AD18" i="1"/>
  <c r="AB17" i="1"/>
  <c r="AD15" i="1"/>
  <c r="AB14" i="1"/>
  <c r="AD13" i="1"/>
  <c r="AB12" i="1"/>
  <c r="AA25" i="1"/>
  <c r="AA23" i="1"/>
  <c r="AA21" i="1"/>
  <c r="M40" i="1"/>
  <c r="J40" i="1"/>
  <c r="N40" i="1"/>
  <c r="H40" i="1"/>
  <c r="O40" i="1"/>
  <c r="P40" i="1"/>
  <c r="H51" i="1"/>
  <c r="N51" i="1"/>
  <c r="O51" i="1"/>
  <c r="J51" i="1"/>
  <c r="P51" i="1"/>
  <c r="M51" i="1"/>
  <c r="AA46" i="1"/>
  <c r="Y46" i="1"/>
  <c r="AC46" i="1"/>
  <c r="AD46" i="1"/>
  <c r="Z46" i="1"/>
  <c r="AB46" i="1"/>
  <c r="AA48" i="1"/>
  <c r="Y48" i="1"/>
  <c r="AC48" i="1"/>
  <c r="Z48" i="1"/>
  <c r="AB48" i="1"/>
  <c r="AD48" i="1"/>
  <c r="H53" i="1"/>
  <c r="N53" i="1"/>
  <c r="J53" i="1"/>
  <c r="P53" i="1"/>
  <c r="M53" i="1"/>
  <c r="O53" i="1"/>
  <c r="Y45" i="1"/>
  <c r="AC45" i="1"/>
  <c r="AA45" i="1"/>
  <c r="AD45" i="1"/>
  <c r="Z45" i="1"/>
  <c r="AB45" i="1"/>
  <c r="Y49" i="1"/>
  <c r="AA49" i="1"/>
  <c r="AC49" i="1"/>
  <c r="AD49" i="1"/>
  <c r="Z49" i="1"/>
  <c r="AB49" i="1"/>
  <c r="Y47" i="1"/>
  <c r="AC47" i="1"/>
  <c r="AA47" i="1"/>
  <c r="Z47" i="1"/>
  <c r="AB47" i="1"/>
  <c r="AD47" i="1"/>
  <c r="AT20" i="1" l="1"/>
  <c r="AS20" i="1"/>
  <c r="T16" i="1"/>
  <c r="R16" i="1"/>
  <c r="S16" i="1"/>
  <c r="S18" i="1"/>
  <c r="T18" i="1"/>
  <c r="AZ34" i="1" l="1"/>
  <c r="V34" i="1"/>
  <c r="T34" i="1"/>
  <c r="S34" i="1"/>
  <c r="R34" i="1"/>
  <c r="AZ33" i="1"/>
  <c r="V33" i="1"/>
  <c r="T33" i="1"/>
  <c r="S33" i="1"/>
  <c r="R33" i="1"/>
  <c r="T32" i="1"/>
  <c r="S32" i="1"/>
  <c r="T31" i="1"/>
  <c r="S31" i="1"/>
  <c r="T30" i="1"/>
  <c r="S30" i="1"/>
  <c r="T29" i="1"/>
  <c r="S29" i="1"/>
  <c r="E39" i="1" l="1"/>
  <c r="E28" i="1"/>
  <c r="E26" i="1"/>
  <c r="E25" i="1"/>
  <c r="E24" i="1"/>
  <c r="E23" i="1"/>
  <c r="E22" i="1"/>
  <c r="E21" i="1"/>
  <c r="E14" i="1"/>
  <c r="E15" i="1"/>
  <c r="E17" i="1"/>
  <c r="E18" i="1"/>
  <c r="E19" i="1"/>
  <c r="E13" i="1"/>
  <c r="E12" i="1"/>
  <c r="E11" i="1"/>
  <c r="J39" i="1" l="1"/>
  <c r="M39" i="1"/>
  <c r="N39" i="1"/>
  <c r="O39" i="1"/>
  <c r="P39" i="1"/>
  <c r="J20" i="1"/>
  <c r="M20" i="1"/>
  <c r="N20" i="1"/>
  <c r="O20" i="1"/>
  <c r="P20" i="1"/>
  <c r="I12" i="1" l="1"/>
  <c r="I13" i="1"/>
  <c r="I14" i="1"/>
  <c r="I15" i="1"/>
  <c r="I17" i="1"/>
  <c r="I18" i="1"/>
  <c r="I19" i="1"/>
  <c r="I24" i="1"/>
  <c r="I25" i="1"/>
  <c r="I26" i="1"/>
  <c r="I28" i="1"/>
  <c r="I11" i="1"/>
  <c r="K25" i="1" l="1"/>
  <c r="L25" i="1"/>
  <c r="K11" i="1"/>
  <c r="L11" i="1"/>
  <c r="K28" i="1"/>
  <c r="L28" i="1"/>
  <c r="K13" i="1"/>
  <c r="L13" i="1"/>
  <c r="K15" i="1"/>
  <c r="L15" i="1"/>
  <c r="K24" i="1"/>
  <c r="L24" i="1"/>
  <c r="K19" i="1"/>
  <c r="L19" i="1"/>
  <c r="K14" i="1"/>
  <c r="L14" i="1"/>
  <c r="K18" i="1"/>
  <c r="L18" i="1"/>
  <c r="K26" i="1"/>
  <c r="L26" i="1"/>
  <c r="K17" i="1"/>
  <c r="L17" i="1"/>
  <c r="K12" i="1"/>
  <c r="L12" i="1"/>
  <c r="N11" i="1"/>
  <c r="O11" i="1"/>
  <c r="M11" i="1"/>
  <c r="J11" i="1"/>
  <c r="P11" i="1"/>
  <c r="J12" i="1"/>
  <c r="P12" i="1"/>
  <c r="M12" i="1"/>
  <c r="N12" i="1"/>
  <c r="O12" i="1"/>
  <c r="O28" i="1"/>
  <c r="J28" i="1"/>
  <c r="P28" i="1"/>
  <c r="M28" i="1"/>
  <c r="N28" i="1"/>
  <c r="J26" i="1"/>
  <c r="P26" i="1"/>
  <c r="M26" i="1"/>
  <c r="N26" i="1"/>
  <c r="O26" i="1"/>
  <c r="J25" i="1"/>
  <c r="P25" i="1"/>
  <c r="N25" i="1"/>
  <c r="O25" i="1"/>
  <c r="M25" i="1"/>
  <c r="O24" i="1"/>
  <c r="J24" i="1"/>
  <c r="P24" i="1"/>
  <c r="M24" i="1"/>
  <c r="N24" i="1"/>
  <c r="J19" i="1"/>
  <c r="P19" i="1"/>
  <c r="M19" i="1"/>
  <c r="N19" i="1"/>
  <c r="O19" i="1"/>
  <c r="J18" i="1"/>
  <c r="P18" i="1"/>
  <c r="M18" i="1"/>
  <c r="N18" i="1"/>
  <c r="O18" i="1"/>
  <c r="J17" i="1"/>
  <c r="P17" i="1"/>
  <c r="M17" i="1"/>
  <c r="N17" i="1"/>
  <c r="O17" i="1"/>
  <c r="J15" i="1"/>
  <c r="P15" i="1"/>
  <c r="M15" i="1"/>
  <c r="N15" i="1"/>
  <c r="O15" i="1"/>
  <c r="O14" i="1"/>
  <c r="J14" i="1"/>
  <c r="P14" i="1"/>
  <c r="M14" i="1"/>
  <c r="N14" i="1"/>
  <c r="P13" i="1"/>
  <c r="M13" i="1"/>
  <c r="O13" i="1"/>
  <c r="N13" i="1"/>
  <c r="J13" i="1"/>
  <c r="AH20" i="1"/>
  <c r="AE39" i="1" l="1"/>
  <c r="AH11" i="1"/>
  <c r="AH12" i="1"/>
  <c r="AH13" i="1"/>
  <c r="AH14" i="1"/>
  <c r="AH15" i="1"/>
  <c r="AH17" i="1"/>
  <c r="AH18" i="1"/>
  <c r="AH19" i="1"/>
  <c r="AH21" i="1"/>
  <c r="AH22" i="1"/>
  <c r="AH23" i="1"/>
  <c r="AH24" i="1"/>
  <c r="AH25" i="1"/>
  <c r="AH26" i="1"/>
  <c r="AH28" i="1"/>
  <c r="AH39" i="1" l="1"/>
  <c r="AI28" i="1"/>
  <c r="AG28" i="1"/>
  <c r="AI18" i="1"/>
  <c r="AG18" i="1"/>
  <c r="AG25" i="1"/>
  <c r="AI25" i="1"/>
  <c r="AG24" i="1"/>
  <c r="AI24" i="1"/>
  <c r="AG17" i="1"/>
  <c r="AI17" i="1"/>
  <c r="AG22" i="1"/>
  <c r="AI22" i="1"/>
  <c r="AI19" i="1"/>
  <c r="AG19" i="1"/>
  <c r="AI26" i="1"/>
  <c r="AG26" i="1"/>
  <c r="AG21" i="1"/>
  <c r="AI21" i="1"/>
  <c r="AG23" i="1"/>
  <c r="AI23" i="1"/>
  <c r="AG20" i="1"/>
  <c r="AI20" i="1"/>
  <c r="AG39" i="1"/>
  <c r="AI39" i="1"/>
  <c r="AG12" i="1"/>
  <c r="AI12" i="1"/>
  <c r="AG13" i="1"/>
  <c r="AI13" i="1"/>
  <c r="AG14" i="1"/>
  <c r="AI14" i="1"/>
  <c r="AG15" i="1"/>
  <c r="AI15" i="1"/>
  <c r="AI11" i="1"/>
  <c r="AG11" i="1"/>
  <c r="D39" i="1"/>
  <c r="AL39" i="1"/>
  <c r="W39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8" i="1"/>
  <c r="AM11" i="1"/>
  <c r="BA11" i="1"/>
  <c r="Z39" i="1" l="1"/>
  <c r="AC39" i="1"/>
  <c r="Y39" i="1"/>
  <c r="AB39" i="1"/>
  <c r="AA39" i="1"/>
  <c r="AD39" i="1"/>
  <c r="BA18" i="1" l="1"/>
  <c r="T17" i="1" l="1"/>
  <c r="S17" i="1" l="1"/>
  <c r="AS17" i="1" l="1"/>
  <c r="AT17" i="1" l="1"/>
  <c r="AT18" i="1"/>
  <c r="AS18" i="1" l="1"/>
  <c r="AQ16" i="1"/>
  <c r="AR16" i="1" l="1"/>
  <c r="AT16" i="1"/>
  <c r="AS16" i="1"/>
  <c r="AT19" i="1"/>
  <c r="AS19" i="1" l="1"/>
  <c r="F21" i="1" l="1"/>
  <c r="G21" i="1" s="1"/>
  <c r="I21" i="1"/>
  <c r="N21" i="1" s="1"/>
  <c r="L21" i="1" l="1"/>
  <c r="P21" i="1"/>
  <c r="J21" i="1"/>
  <c r="M21" i="1"/>
  <c r="K21" i="1"/>
  <c r="O21" i="1"/>
  <c r="I23" i="1"/>
  <c r="P23" i="1" s="1"/>
  <c r="F23" i="1"/>
  <c r="G23" i="1" s="1"/>
  <c r="M23" i="1" l="1"/>
  <c r="L23" i="1"/>
  <c r="J23" i="1"/>
  <c r="K23" i="1"/>
  <c r="O23" i="1"/>
  <c r="N23" i="1"/>
  <c r="F22" i="1"/>
  <c r="G22" i="1" s="1"/>
  <c r="I22" i="1"/>
  <c r="P22" i="1" s="1"/>
  <c r="K22" i="1" l="1"/>
  <c r="O22" i="1"/>
  <c r="M22" i="1"/>
  <c r="L22" i="1"/>
  <c r="N22" i="1"/>
  <c r="J22" i="1"/>
  <c r="F27" i="1"/>
  <c r="G27" i="1" s="1"/>
  <c r="I27" i="1"/>
  <c r="K27" i="1" s="1"/>
  <c r="P27" i="1" l="1"/>
  <c r="O27" i="1"/>
  <c r="M27" i="1"/>
  <c r="N27" i="1"/>
  <c r="J27" i="1"/>
  <c r="L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7620841A-FEB8-4E99-891C-370A46AF4508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<sst xmlns="http://schemas.openxmlformats.org/spreadsheetml/2006/main" count="325" uniqueCount="208">
  <si>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</si>
  <si>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</si>
  <si>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</si>
  <si>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</si>
  <si>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</si>
  <si>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</si>
  <si>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</si>
  <si>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</si>
  <si>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</si>
  <si>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</si>
  <si>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</si>
  <si>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</si>
  <si>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</si>
  <si>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</si>
  <si>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</si>
  <si>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</si>
  <si>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</si>
  <si>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</si>
  <si>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</si>
  <si>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</si>
  <si>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</si>
  <si>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</si>
  <si>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</si>
  <si>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</si>
  <si>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</si>
  <si>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</si>
  <si>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</si>
  <si>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</si>
  <si>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</si>
  <si>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</si>
  <si>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</si>
  <si>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</si>
  <si>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</si>
  <si>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</si>
  <si>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</si>
  <si>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</si>
  <si>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</si>
  <si>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</si>
  <si>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</si>
  <si>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</si>
  <si>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</si>
  <si>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</si>
  <si>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</si>
  <si>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</si>
  <si>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</si>
  <si>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</si>
  <si>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</si>
  <si>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</si>
  <si>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</si>
  <si>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</si>
  <si>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</si>
  <si>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</si>
  <si>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</si>
  <si>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</si>
  <si>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</si>
  <si>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</si>
  <si>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</si>
  <si>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</si>
  <si>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</si>
  <si>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</si>
  <si>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</si>
  <si>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</si>
  <si>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</si>
  <si>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</si>
  <si>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</si>
  <si>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</si>
  <si>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</si>
  <si>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</si>
  <si>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</si>
  <si>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</si>
  <si>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</si>
  <si>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</si>
  <si>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</si>
  <si>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</si>
  <si>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</si>
  <si>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</si>
  <si>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</si>
  <si>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</si>
  <si>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</si>
  <si>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</si>
  <si>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</si>
  <si>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</si>
  <si>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</si>
  <si>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</si>
  <si>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CAS18</t>
  </si>
  <si>
    <t>n/a</t>
  </si>
  <si>
    <t>HDM1</t>
  </si>
  <si>
    <t>COMPARATIVE TARIFFS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</si>
  <si>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</si>
  <si>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</si>
  <si>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</si>
  <si>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</si>
  <si>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</si>
  <si>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</si>
  <si>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</si>
  <si>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</si>
  <si>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</si>
  <si>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</si>
  <si>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</si>
  <si>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</si>
  <si>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</si>
  <si>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</si>
  <si>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</si>
  <si>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</si>
  <si>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</si>
  <si>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</si>
  <si>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</si>
  <si>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</si>
  <si>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</si>
  <si>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</si>
  <si>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</si>
  <si>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</si>
  <si>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</si>
  <si>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</si>
  <si>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</si>
  <si>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</si>
  <si>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</si>
  <si>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</si>
  <si>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</si>
  <si>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</si>
  <si>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</si>
  <si>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</si>
  <si>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</si>
  <si>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</si>
  <si>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</si>
  <si>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</si>
  <si>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</si>
  <si>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</si>
  <si>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</si>
  <si>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</si>
  <si>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</si>
  <si>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</si>
  <si>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</si>
  <si>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</si>
  <si>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</si>
  <si>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</si>
  <si>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</si>
  <si>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</si>
  <si>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</si>
  <si>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</si>
  <si>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</si>
  <si>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</si>
  <si>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</si>
  <si>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</si>
  <si>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</si>
  <si>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</si>
  <si>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</si>
  <si>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</si>
  <si>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</si>
  <si>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</si>
  <si>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</si>
  <si>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</si>
  <si>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</si>
  <si>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</si>
  <si>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</si>
  <si>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</si>
  <si>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</si>
  <si>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</si>
  <si>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</si>
  <si>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</si>
  <si>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</si>
  <si>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</si>
  <si>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</si>
  <si>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</si>
  <si>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</si>
  <si>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</si>
  <si>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</si>
  <si>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</si>
  <si>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</si>
  <si>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</si>
  <si>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</si>
  <si>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</si>
  <si>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</si>
  <si>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</si>
  <si>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</si>
  <si>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</si>
  <si>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</si>
  <si>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</si>
  <si>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</si>
  <si>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</si>
  <si>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</si>
  <si>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</si>
  <si>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</si>
  <si>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</si>
  <si>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</si>
  <si>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</si>
  <si>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</si>
  <si>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</si>
  <si>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</si>
  <si>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</si>
  <si>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</si>
  <si>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</si>
  <si>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</si>
  <si>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</si>
  <si>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</si>
  <si>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</si>
  <si>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</si>
  <si>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</si>
  <si>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</si>
  <si>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</si>
  <si>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</si>
  <si>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</si>
  <si>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DERMATOLOGY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</si>
  <si>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</si>
  <si>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</si>
  <si>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</si>
  <si>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2023.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</si>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</sst>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5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</cellStyleXfs>
  <cellXfs count="282">
    <xf numFmtId="0" fontId="0" fillId="0" borderId="0" xfId="0"/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wrapText="1"/>
      <protection hidden="1"/>
    </xf>
    <xf numFmtId="0" fontId="8" fillId="2" borderId="0" xfId="0" applyFont="1" applyFill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15" xfId="0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164" fontId="31" fillId="0" borderId="20" xfId="1" applyFont="1" applyFill="1" applyBorder="1" applyProtection="1">
      <protection hidden="1"/>
    </xf>
    <xf numFmtId="0" fontId="9" fillId="3" borderId="14" xfId="0" applyFont="1" applyFill="1" applyBorder="1" applyProtection="1">
      <protection hidden="1"/>
    </xf>
    <xf numFmtId="0" fontId="9" fillId="3" borderId="3" xfId="0" applyFont="1" applyFill="1" applyBorder="1" applyProtection="1">
      <protection hidden="1"/>
    </xf>
    <xf numFmtId="164" fontId="9" fillId="3" borderId="3" xfId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Protection="1">
      <protection hidden="1"/>
    </xf>
    <xf numFmtId="0" fontId="9" fillId="3" borderId="5" xfId="0" applyFont="1" applyFill="1" applyBorder="1" applyProtection="1">
      <protection hidden="1"/>
    </xf>
    <xf numFmtId="164" fontId="9" fillId="3" borderId="5" xfId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Protection="1">
      <protection hidden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Protection="1">
      <protection hidden="1"/>
    </xf>
    <xf numFmtId="165" fontId="22" fillId="7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Protection="1"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wrapText="1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165" fontId="23" fillId="7" borderId="1" xfId="1" applyNumberFormat="1" applyFont="1" applyFill="1" applyBorder="1" applyProtection="1">
      <protection hidden="1"/>
    </xf>
    <xf numFmtId="165" fontId="23" fillId="0" borderId="1" xfId="1" applyNumberFormat="1" applyFont="1" applyFill="1" applyBorder="1" applyProtection="1">
      <protection hidden="1"/>
    </xf>
    <xf numFmtId="165" fontId="22" fillId="0" borderId="0" xfId="1" applyNumberFormat="1" applyFont="1" applyFill="1" applyAlignment="1" applyProtection="1">
      <alignment horizontal="center"/>
      <protection hidden="1"/>
    </xf>
    <xf numFmtId="164" fontId="35" fillId="2" borderId="20" xfId="1" applyFont="1" applyFill="1" applyBorder="1" applyProtection="1"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Alignment="1" applyProtection="1">
      <alignment horizontal="center"/>
      <protection hidden="1"/>
    </xf>
    <xf numFmtId="165" fontId="23" fillId="8" borderId="1" xfId="1" applyNumberFormat="1" applyFont="1" applyFill="1" applyBorder="1" applyProtection="1">
      <protection hidden="1"/>
    </xf>
    <xf numFmtId="0" fontId="21" fillId="8" borderId="0" xfId="0" applyFont="1" applyFill="1" applyProtection="1"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165" fontId="22" fillId="8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3" fillId="7" borderId="1" xfId="1" applyNumberFormat="1" applyFont="1" applyFill="1" applyBorder="1" applyAlignment="1" applyProtection="1">
      <alignment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165" fontId="32" fillId="9" borderId="1" xfId="1" applyNumberFormat="1" applyFont="1" applyFill="1" applyBorder="1" applyAlignment="1" applyProtection="1">
      <alignment wrapText="1"/>
      <protection hidden="1"/>
    </xf>
    <xf numFmtId="165" fontId="22" fillId="8" borderId="1" xfId="1" applyNumberFormat="1" applyFont="1" applyFill="1" applyBorder="1" applyProtection="1">
      <protection hidden="1"/>
    </xf>
    <xf numFmtId="165" fontId="23" fillId="8" borderId="1" xfId="1" applyNumberFormat="1" applyFont="1" applyFill="1" applyBorder="1" applyAlignment="1" applyProtection="1">
      <alignment wrapText="1"/>
      <protection hidden="1"/>
    </xf>
    <xf numFmtId="165" fontId="22" fillId="8" borderId="0" xfId="1" applyNumberFormat="1" applyFont="1" applyFill="1" applyProtection="1">
      <protection hidden="1"/>
    </xf>
    <xf numFmtId="165" fontId="22" fillId="8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65" fontId="22" fillId="0" borderId="0" xfId="1" applyNumberFormat="1" applyFont="1" applyFill="1" applyProtection="1">
      <protection hidden="1"/>
    </xf>
    <xf numFmtId="165" fontId="22" fillId="0" borderId="0" xfId="1" applyNumberFormat="1" applyFont="1" applyFill="1" applyAlignment="1" applyProtection="1">
      <alignment horizontal="center" wrapText="1"/>
      <protection hidden="1"/>
    </xf>
    <xf numFmtId="49" fontId="38" fillId="2" borderId="9" xfId="0" applyNumberFormat="1" applyFont="1" applyFill="1" applyBorder="1" applyProtection="1">
      <protection hidden="1"/>
    </xf>
    <xf numFmtId="0" fontId="38" fillId="2" borderId="17" xfId="0" applyFont="1" applyFill="1" applyBorder="1" applyAlignment="1" applyProtection="1">
      <alignment wrapText="1"/>
      <protection hidden="1"/>
    </xf>
    <xf numFmtId="0" fontId="38" fillId="2" borderId="20" xfId="1" applyNumberFormat="1" applyFont="1" applyFill="1" applyBorder="1" applyProtection="1">
      <protection hidden="1"/>
    </xf>
    <xf numFmtId="164" fontId="38" fillId="2" borderId="20" xfId="1" applyFont="1" applyFill="1" applyBorder="1" applyProtection="1">
      <protection hidden="1"/>
    </xf>
    <xf numFmtId="165" fontId="38" fillId="2" borderId="20" xfId="1" applyNumberFormat="1" applyFont="1" applyFill="1" applyBorder="1" applyProtection="1">
      <protection hidden="1"/>
    </xf>
    <xf numFmtId="164" fontId="38" fillId="0" borderId="20" xfId="1" applyFont="1" applyFill="1" applyBorder="1" applyProtection="1">
      <protection hidden="1"/>
    </xf>
    <xf numFmtId="164" fontId="38" fillId="6" borderId="20" xfId="1" applyFont="1" applyFill="1" applyBorder="1" applyProtection="1">
      <protection hidden="1"/>
    </xf>
    <xf numFmtId="0" fontId="38" fillId="2" borderId="0" xfId="0" applyFont="1" applyFill="1" applyProtection="1">
      <protection hidden="1"/>
    </xf>
    <xf numFmtId="0" fontId="15" fillId="2" borderId="13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8" fillId="2" borderId="2" xfId="0" applyFont="1" applyFill="1" applyBorder="1" applyProtection="1">
      <protection hidden="1"/>
    </xf>
    <xf numFmtId="0" fontId="34" fillId="2" borderId="2" xfId="0" applyFont="1" applyFill="1" applyBorder="1" applyProtection="1">
      <protection hidden="1"/>
    </xf>
    <xf numFmtId="0" fontId="30" fillId="2" borderId="0" xfId="0" applyFont="1" applyFill="1" applyAlignment="1" applyProtection="1">
      <alignment wrapText="1"/>
      <protection hidden="1"/>
    </xf>
    <xf numFmtId="0" fontId="29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8" fillId="2" borderId="17" xfId="0" applyFont="1" applyFill="1" applyBorder="1" applyAlignment="1" applyProtection="1">
      <alignment horizontal="left" wrapText="1"/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6" fontId="22" fillId="0" borderId="1" xfId="1" applyNumberFormat="1" applyFont="1" applyBorder="1" applyAlignment="1" applyProtection="1">
      <alignment horizontal="center"/>
      <protection hidden="1"/>
    </xf>
    <xf numFmtId="165" fontId="31" fillId="2" borderId="20" xfId="1" applyNumberFormat="1" applyFont="1" applyFill="1" applyBorder="1" applyProtection="1">
      <protection hidden="1"/>
    </xf>
    <xf numFmtId="0" fontId="39" fillId="2" borderId="2" xfId="0" applyFont="1" applyFill="1" applyBorder="1" applyProtection="1">
      <protection hidden="1"/>
    </xf>
    <xf numFmtId="0" fontId="40" fillId="0" borderId="0" xfId="0" applyFont="1"/>
    <xf numFmtId="0" fontId="41" fillId="2" borderId="0" xfId="0" applyFont="1" applyFill="1"/>
    <xf numFmtId="0" fontId="40" fillId="2" borderId="0" xfId="0" applyFont="1" applyFill="1" applyAlignment="1">
      <alignment vertical="center"/>
    </xf>
    <xf numFmtId="0" fontId="41" fillId="0" borderId="0" xfId="0" applyFont="1"/>
    <xf numFmtId="0" fontId="42" fillId="0" borderId="0" xfId="0" applyFont="1"/>
    <xf numFmtId="0" fontId="30" fillId="2" borderId="0" xfId="0" applyFont="1" applyFill="1" applyProtection="1">
      <protection hidden="1"/>
    </xf>
    <xf numFmtId="0" fontId="41" fillId="0" borderId="0" xfId="0" applyFont="1" applyAlignment="1">
      <alignment vertical="center"/>
    </xf>
    <xf numFmtId="0" fontId="43" fillId="2" borderId="2" xfId="0" applyFont="1" applyFill="1" applyBorder="1" applyProtection="1">
      <protection hidden="1"/>
    </xf>
    <xf numFmtId="0" fontId="44" fillId="2" borderId="0" xfId="0" applyFont="1" applyFill="1" applyAlignment="1" applyProtection="1">
      <alignment wrapText="1"/>
      <protection hidden="1"/>
    </xf>
    <xf numFmtId="164" fontId="44" fillId="2" borderId="0" xfId="1" applyFont="1" applyFill="1" applyBorder="1" applyAlignment="1" applyProtection="1">
      <alignment wrapText="1"/>
      <protection hidden="1"/>
    </xf>
    <xf numFmtId="165" fontId="44" fillId="2" borderId="0" xfId="1" applyNumberFormat="1" applyFont="1" applyFill="1" applyBorder="1" applyAlignment="1" applyProtection="1">
      <alignment wrapText="1"/>
      <protection hidden="1"/>
    </xf>
    <xf numFmtId="165" fontId="44" fillId="2" borderId="6" xfId="1" applyNumberFormat="1" applyFont="1" applyFill="1" applyBorder="1" applyAlignment="1" applyProtection="1">
      <alignment wrapText="1"/>
      <protection hidden="1"/>
    </xf>
    <xf numFmtId="0" fontId="44" fillId="2" borderId="0" xfId="0" applyFont="1" applyFill="1" applyProtection="1">
      <protection hidden="1"/>
    </xf>
    <xf numFmtId="0" fontId="45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6" fillId="10" borderId="2" xfId="0" applyNumberFormat="1" applyFont="1" applyFill="1" applyBorder="1" applyProtection="1">
      <protection hidden="1"/>
    </xf>
    <xf numFmtId="0" fontId="47" fillId="10" borderId="0" xfId="0" applyFont="1" applyFill="1" applyProtection="1">
      <protection hidden="1"/>
    </xf>
    <xf numFmtId="165" fontId="47" fillId="10" borderId="0" xfId="1" applyNumberFormat="1" applyFont="1" applyFill="1" applyBorder="1" applyProtection="1">
      <protection hidden="1"/>
    </xf>
    <xf numFmtId="164" fontId="47" fillId="10" borderId="0" xfId="1" applyFont="1" applyFill="1" applyBorder="1" applyProtection="1">
      <protection hidden="1"/>
    </xf>
    <xf numFmtId="165" fontId="46" fillId="10" borderId="0" xfId="1" applyNumberFormat="1" applyFont="1" applyFill="1" applyBorder="1" applyProtection="1">
      <protection hidden="1"/>
    </xf>
    <xf numFmtId="167" fontId="47" fillId="10" borderId="0" xfId="0" applyNumberFormat="1" applyFont="1" applyFill="1" applyProtection="1">
      <protection hidden="1"/>
    </xf>
    <xf numFmtId="165" fontId="47" fillId="10" borderId="0" xfId="0" applyNumberFormat="1" applyFont="1" applyFill="1" applyProtection="1">
      <protection hidden="1"/>
    </xf>
    <xf numFmtId="164" fontId="46" fillId="10" borderId="0" xfId="1" applyFont="1" applyFill="1" applyBorder="1" applyProtection="1">
      <protection hidden="1"/>
    </xf>
    <xf numFmtId="165" fontId="46" fillId="10" borderId="6" xfId="1" applyNumberFormat="1" applyFont="1" applyFill="1" applyBorder="1" applyProtection="1">
      <protection hidden="1"/>
    </xf>
    <xf numFmtId="166" fontId="22" fillId="7" borderId="1" xfId="1" applyNumberFormat="1" applyFont="1" applyFill="1" applyBorder="1" applyAlignment="1" applyProtection="1">
      <alignment horizontal="center"/>
      <protection hidden="1"/>
    </xf>
    <xf numFmtId="166" fontId="22" fillId="0" borderId="1" xfId="1" applyNumberFormat="1" applyFont="1" applyFill="1" applyBorder="1" applyAlignment="1" applyProtection="1">
      <alignment horizontal="center"/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9" fillId="9" borderId="13" xfId="0" applyFont="1" applyFill="1" applyBorder="1" applyProtection="1">
      <protection hidden="1"/>
    </xf>
    <xf numFmtId="0" fontId="47" fillId="9" borderId="11" xfId="0" applyFont="1" applyFill="1" applyBorder="1" applyAlignment="1" applyProtection="1">
      <alignment wrapText="1"/>
      <protection hidden="1"/>
    </xf>
    <xf numFmtId="0" fontId="47" fillId="9" borderId="11" xfId="1" applyNumberFormat="1" applyFont="1" applyFill="1" applyBorder="1" applyAlignment="1" applyProtection="1">
      <alignment wrapText="1"/>
      <protection hidden="1"/>
    </xf>
    <xf numFmtId="164" fontId="47" fillId="9" borderId="11" xfId="1" applyFont="1" applyFill="1" applyBorder="1" applyAlignment="1" applyProtection="1">
      <alignment wrapText="1"/>
      <protection hidden="1"/>
    </xf>
    <xf numFmtId="165" fontId="47" fillId="9" borderId="11" xfId="1" applyNumberFormat="1" applyFont="1" applyFill="1" applyBorder="1" applyAlignment="1" applyProtection="1">
      <alignment wrapText="1"/>
      <protection hidden="1"/>
    </xf>
    <xf numFmtId="165" fontId="47" fillId="9" borderId="12" xfId="1" applyNumberFormat="1" applyFont="1" applyFill="1" applyBorder="1" applyAlignment="1" applyProtection="1">
      <alignment wrapText="1"/>
      <protection hidden="1"/>
    </xf>
    <xf numFmtId="0" fontId="50" fillId="9" borderId="2" xfId="0" applyFont="1" applyFill="1" applyBorder="1" applyProtection="1">
      <protection hidden="1"/>
    </xf>
    <xf numFmtId="0" fontId="50" fillId="9" borderId="0" xfId="0" applyFont="1" applyFill="1" applyAlignment="1" applyProtection="1">
      <alignment wrapText="1"/>
      <protection hidden="1"/>
    </xf>
    <xf numFmtId="164" fontId="50" fillId="9" borderId="0" xfId="1" applyFont="1" applyFill="1" applyBorder="1" applyAlignment="1" applyProtection="1">
      <alignment wrapText="1"/>
      <protection hidden="1"/>
    </xf>
    <xf numFmtId="164" fontId="50" fillId="9" borderId="0" xfId="0" applyNumberFormat="1" applyFont="1" applyFill="1" applyAlignment="1" applyProtection="1">
      <alignment wrapText="1"/>
      <protection hidden="1"/>
    </xf>
    <xf numFmtId="164" fontId="50" fillId="9" borderId="0" xfId="1" applyFont="1" applyFill="1" applyAlignment="1" applyProtection="1">
      <alignment wrapText="1"/>
      <protection hidden="1"/>
    </xf>
    <xf numFmtId="165" fontId="50" fillId="9" borderId="0" xfId="1" applyNumberFormat="1" applyFont="1" applyFill="1" applyBorder="1" applyAlignment="1" applyProtection="1">
      <alignment wrapText="1"/>
      <protection hidden="1"/>
    </xf>
    <xf numFmtId="0" fontId="50" fillId="9" borderId="6" xfId="0" applyFont="1" applyFill="1" applyBorder="1" applyAlignment="1" applyProtection="1">
      <alignment wrapText="1"/>
      <protection hidden="1"/>
    </xf>
    <xf numFmtId="0" fontId="47" fillId="9" borderId="2" xfId="0" applyFont="1" applyFill="1" applyBorder="1" applyProtection="1">
      <protection hidden="1"/>
    </xf>
    <xf numFmtId="0" fontId="47" fillId="9" borderId="0" xfId="0" applyFont="1" applyFill="1" applyAlignment="1" applyProtection="1">
      <alignment wrapText="1"/>
      <protection hidden="1"/>
    </xf>
    <xf numFmtId="0" fontId="47" fillId="9" borderId="0" xfId="1" applyNumberFormat="1" applyFont="1" applyFill="1" applyBorder="1" applyAlignment="1" applyProtection="1">
      <alignment wrapText="1"/>
      <protection hidden="1"/>
    </xf>
    <xf numFmtId="164" fontId="47" fillId="9" borderId="0" xfId="1" applyFont="1" applyFill="1" applyBorder="1" applyAlignment="1" applyProtection="1">
      <alignment wrapText="1"/>
      <protection hidden="1"/>
    </xf>
    <xf numFmtId="165" fontId="47" fillId="9" borderId="0" xfId="1" applyNumberFormat="1" applyFont="1" applyFill="1" applyBorder="1" applyAlignment="1" applyProtection="1">
      <alignment wrapText="1"/>
      <protection hidden="1"/>
    </xf>
    <xf numFmtId="165" fontId="47" fillId="9" borderId="6" xfId="1" applyNumberFormat="1" applyFont="1" applyFill="1" applyBorder="1" applyAlignment="1" applyProtection="1">
      <alignment wrapText="1"/>
      <protection hidden="1"/>
    </xf>
    <xf numFmtId="165" fontId="38" fillId="0" borderId="20" xfId="1" applyNumberFormat="1" applyFont="1" applyFill="1" applyBorder="1" applyProtection="1">
      <protection hidden="1"/>
    </xf>
    <xf numFmtId="0" fontId="32" fillId="11" borderId="1" xfId="0" applyFont="1" applyFill="1" applyBorder="1" applyProtection="1">
      <protection hidden="1"/>
    </xf>
    <xf numFmtId="0" fontId="32" fillId="11" borderId="1" xfId="0" applyFont="1" applyFill="1" applyBorder="1" applyAlignment="1" applyProtection="1">
      <alignment horizontal="center"/>
      <protection hidden="1"/>
    </xf>
    <xf numFmtId="0" fontId="32" fillId="11" borderId="1" xfId="0" quotePrefix="1" applyFont="1" applyFill="1" applyBorder="1" applyAlignment="1" applyProtection="1">
      <alignment horizontal="center"/>
      <protection hidden="1"/>
    </xf>
    <xf numFmtId="165" fontId="32" fillId="11" borderId="1" xfId="1" applyNumberFormat="1" applyFont="1" applyFill="1" applyBorder="1" applyAlignment="1" applyProtection="1">
      <alignment horizontal="center" wrapText="1"/>
      <protection hidden="1"/>
    </xf>
    <xf numFmtId="165" fontId="32" fillId="11" borderId="1" xfId="1" applyNumberFormat="1" applyFont="1" applyFill="1" applyBorder="1" applyAlignment="1" applyProtection="1">
      <alignment horizontal="center"/>
      <protection hidden="1"/>
    </xf>
    <xf numFmtId="0" fontId="32" fillId="11" borderId="1" xfId="0" applyFont="1" applyFill="1" applyBorder="1" applyAlignment="1" applyProtection="1">
      <alignment wrapText="1"/>
      <protection hidden="1"/>
    </xf>
    <xf numFmtId="0" fontId="32" fillId="11" borderId="1" xfId="0" applyFont="1" applyFill="1" applyBorder="1" applyAlignment="1" applyProtection="1">
      <alignment horizontal="center" wrapText="1"/>
      <protection hidden="1"/>
    </xf>
    <xf numFmtId="0" fontId="32" fillId="11" borderId="1" xfId="0" quotePrefix="1" applyFont="1" applyFill="1" applyBorder="1" applyAlignment="1" applyProtection="1">
      <alignment horizontal="center" wrapText="1"/>
      <protection hidden="1"/>
    </xf>
    <xf numFmtId="165" fontId="32" fillId="11" borderId="1" xfId="1" applyNumberFormat="1" applyFont="1" applyFill="1" applyBorder="1" applyAlignment="1" applyProtection="1">
      <alignment wrapText="1"/>
      <protection hidden="1"/>
    </xf>
    <xf numFmtId="165" fontId="32" fillId="11" borderId="1" xfId="1" applyNumberFormat="1" applyFont="1" applyFill="1" applyBorder="1" applyProtection="1">
      <protection hidden="1"/>
    </xf>
    <xf numFmtId="165" fontId="51" fillId="11" borderId="1" xfId="1" applyNumberFormat="1" applyFont="1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4" xfId="3" xr:uid="{A83FD29E-6B39-41A0-B3F2-CCD82A3F27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4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4" bestFit="1" customWidth="1"/>
    <col min="2" max="2" width="65.42578125" style="70" bestFit="1" customWidth="1"/>
    <col min="3" max="3" width="11.28515625" style="4" bestFit="1" customWidth="1"/>
    <col min="4" max="4" width="10.140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7109375" style="6" customWidth="1"/>
    <col min="13" max="14" width="12.85546875" style="6" customWidth="1"/>
    <col min="15" max="16" width="11.7109375" style="6" customWidth="1"/>
    <col min="17" max="17" width="10" style="5" bestFit="1" customWidth="1"/>
    <col min="18" max="18" width="7.7109375" style="6" bestFit="1" customWidth="1"/>
    <col min="19" max="20" width="11.7109375" style="6" customWidth="1"/>
    <col min="21" max="21" width="10" style="5" bestFit="1" customWidth="1"/>
    <col min="22" max="22" width="9.7109375" style="6" customWidth="1"/>
    <col min="23" max="23" width="10" style="5" bestFit="1" customWidth="1"/>
    <col min="24" max="24" width="9.140625" style="6" customWidth="1"/>
    <col min="25" max="26" width="9.28515625" style="5" bestFit="1" customWidth="1"/>
    <col min="27" max="27" width="11.140625" style="5" bestFit="1" customWidth="1"/>
    <col min="28" max="28" width="9.28515625" style="5" bestFit="1" customWidth="1"/>
    <col min="29" max="29" width="9.42578125" style="5" bestFit="1" customWidth="1"/>
    <col min="30" max="30" width="10.5703125" style="5" bestFit="1" customWidth="1"/>
    <col min="31" max="31" width="10.140625" style="5" bestFit="1" customWidth="1"/>
    <col min="32" max="32" width="10.42578125" style="6" bestFit="1" customWidth="1"/>
    <col min="33" max="34" width="9.42578125" style="6" bestFit="1" customWidth="1"/>
    <col min="35" max="35" width="10" style="6" hidden="1" customWidth="1"/>
    <col min="36" max="36" width="10.140625" style="5" bestFit="1" customWidth="1"/>
    <col min="37" max="37" width="11.42578125" style="6" customWidth="1"/>
    <col min="38" max="38" width="10.140625" style="5" bestFit="1" customWidth="1"/>
    <col min="39" max="39" width="11" style="6" customWidth="1"/>
    <col min="40" max="40" width="10.140625" style="5" bestFit="1" customWidth="1"/>
    <col min="41" max="41" width="7.85546875" style="6" bestFit="1" customWidth="1"/>
    <col min="42" max="42" width="10" style="6" bestFit="1" customWidth="1"/>
    <col min="43" max="43" width="10.85546875" style="5" customWidth="1"/>
    <col min="44" max="44" width="8" style="6" customWidth="1"/>
    <col min="45" max="46" width="10" style="6" bestFit="1" customWidth="1"/>
    <col min="47" max="47" width="10.140625" style="5" bestFit="1" customWidth="1"/>
    <col min="48" max="48" width="8.85546875" style="6" customWidth="1"/>
    <col min="49" max="49" width="10.28515625" style="5" bestFit="1" customWidth="1"/>
    <col min="50" max="50" width="8.85546875" style="6" customWidth="1"/>
    <col min="51" max="51" width="10.140625" style="5" bestFit="1" customWidth="1"/>
    <col min="52" max="52" width="10" style="6" customWidth="1"/>
    <col min="53" max="53" width="9.42578125" style="6" bestFit="1" customWidth="1"/>
    <col min="54" max="54" width="10.5703125" style="6" customWidth="1"/>
    <col min="55" max="16384" width="9.140625" style="4"/>
  </cols>
  <sheetData>
    <row r="1" spans="1:54" ht="23.25" x14ac:dyDescent="0.35">
      <c r="A1" s="1" t="s">
        <v>202</v>
      </c>
      <c r="B1" s="2"/>
      <c r="C1" s="2"/>
      <c r="D1" s="2"/>
      <c r="E1" s="2"/>
      <c r="F1" s="94"/>
      <c r="G1" s="2"/>
      <c r="H1" s="9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94"/>
      <c r="AX1" s="2"/>
      <c r="AY1" s="2"/>
      <c r="AZ1" s="2"/>
      <c r="BA1" s="2"/>
      <c r="BB1" s="3"/>
    </row>
    <row r="2" spans="1:54" x14ac:dyDescent="0.2">
      <c r="A2" s="104"/>
      <c r="B2" s="105"/>
      <c r="C2" s="106"/>
      <c r="D2" s="107"/>
      <c r="E2" s="108"/>
      <c r="F2" s="107"/>
      <c r="G2" s="108"/>
      <c r="H2" s="107"/>
      <c r="I2" s="108"/>
      <c r="J2" s="108"/>
      <c r="K2" s="108"/>
      <c r="L2" s="108"/>
      <c r="M2" s="108"/>
      <c r="N2" s="108"/>
      <c r="O2" s="108"/>
      <c r="P2" s="108"/>
      <c r="Q2" s="107"/>
      <c r="R2" s="108"/>
      <c r="S2" s="108"/>
      <c r="T2" s="108"/>
      <c r="U2" s="107"/>
      <c r="V2" s="108"/>
      <c r="W2" s="107"/>
      <c r="X2" s="108"/>
      <c r="Y2" s="107"/>
      <c r="Z2" s="107"/>
      <c r="AA2" s="107"/>
      <c r="AB2" s="107"/>
      <c r="AC2" s="107"/>
      <c r="AD2" s="107"/>
      <c r="AE2" s="107"/>
      <c r="AF2" s="108"/>
      <c r="AG2" s="108"/>
      <c r="AH2" s="108"/>
      <c r="AI2" s="108"/>
      <c r="AJ2" s="107"/>
      <c r="AK2" s="108"/>
      <c r="AL2" s="107"/>
      <c r="AM2" s="108"/>
      <c r="AN2" s="107"/>
      <c r="AO2" s="108"/>
      <c r="AP2" s="108"/>
      <c r="AQ2" s="107"/>
      <c r="AR2" s="108"/>
      <c r="AS2" s="108"/>
      <c r="AT2" s="108"/>
      <c r="AU2" s="107"/>
      <c r="AV2" s="108"/>
      <c r="AW2" s="107"/>
      <c r="AX2" s="108"/>
      <c r="AY2" s="107"/>
      <c r="AZ2" s="108"/>
      <c r="BA2" s="108"/>
      <c r="BB2" s="109"/>
    </row>
    <row r="3" spans="1:54" ht="15.75" x14ac:dyDescent="0.25">
      <c r="A3" s="101" t="s">
        <v>87</v>
      </c>
      <c r="B3" s="102"/>
      <c r="C3" s="102"/>
      <c r="D3" s="102"/>
      <c r="E3" s="102"/>
      <c r="F3" s="110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10"/>
      <c r="AO3" s="102"/>
      <c r="AP3" s="102"/>
      <c r="AQ3" s="110"/>
      <c r="AR3" s="102"/>
      <c r="AS3" s="102"/>
      <c r="AT3" s="102"/>
      <c r="AU3" s="110"/>
      <c r="AV3" s="102"/>
      <c r="AW3" s="110"/>
      <c r="AX3" s="102"/>
      <c r="AY3" s="110"/>
      <c r="AZ3" s="111"/>
      <c r="BA3" s="102"/>
      <c r="BB3" s="103"/>
    </row>
    <row r="4" spans="1:54" ht="15.75" x14ac:dyDescent="0.25">
      <c r="A4" s="99"/>
      <c r="B4" s="100"/>
      <c r="C4" s="112"/>
      <c r="D4" s="274" t="s">
        <v>124</v>
      </c>
      <c r="E4" s="276"/>
      <c r="F4" s="274" t="s">
        <v>125</v>
      </c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4" t="s">
        <v>105</v>
      </c>
      <c r="R4" s="275"/>
      <c r="S4" s="275"/>
      <c r="T4" s="276"/>
      <c r="U4" s="274" t="s">
        <v>106</v>
      </c>
      <c r="V4" s="275"/>
      <c r="W4" s="275"/>
      <c r="X4" s="275"/>
      <c r="Y4" s="275"/>
      <c r="Z4" s="275"/>
      <c r="AA4" s="275"/>
      <c r="AB4" s="275"/>
      <c r="AC4" s="275"/>
      <c r="AD4" s="276"/>
      <c r="AE4" s="274" t="s">
        <v>108</v>
      </c>
      <c r="AF4" s="275"/>
      <c r="AG4" s="275"/>
      <c r="AH4" s="275"/>
      <c r="AI4" s="276"/>
      <c r="AJ4" s="274" t="s">
        <v>116</v>
      </c>
      <c r="AK4" s="275"/>
      <c r="AL4" s="275"/>
      <c r="AM4" s="276"/>
      <c r="AN4" s="274" t="s">
        <v>117</v>
      </c>
      <c r="AO4" s="275"/>
      <c r="AP4" s="276"/>
      <c r="AQ4" s="277" t="s">
        <v>126</v>
      </c>
      <c r="AR4" s="278"/>
      <c r="AS4" s="278"/>
      <c r="AT4" s="278"/>
      <c r="AU4" s="279" t="s">
        <v>127</v>
      </c>
      <c r="AV4" s="280"/>
      <c r="AW4" s="280"/>
      <c r="AX4" s="280"/>
      <c r="AY4" s="280"/>
      <c r="AZ4" s="280"/>
      <c r="BA4" s="280"/>
      <c r="BB4" s="281"/>
    </row>
    <row r="5" spans="1:54" ht="84" customHeight="1" x14ac:dyDescent="0.2">
      <c r="A5" s="7" t="s">
        <v>0</v>
      </c>
      <c r="B5" s="8" t="s">
        <v>1</v>
      </c>
      <c r="C5" s="113" t="s">
        <v>2</v>
      </c>
      <c r="D5" s="9" t="s">
        <v>195</v>
      </c>
      <c r="E5" s="10" t="s">
        <v>128</v>
      </c>
      <c r="F5" s="9" t="s">
        <v>129</v>
      </c>
      <c r="G5" s="9" t="s">
        <v>130</v>
      </c>
      <c r="H5" s="9" t="s">
        <v>192</v>
      </c>
      <c r="I5" s="9" t="s">
        <v>193</v>
      </c>
      <c r="J5" s="10" t="s">
        <v>132</v>
      </c>
      <c r="K5" s="10" t="s">
        <v>132</v>
      </c>
      <c r="L5" s="10" t="s">
        <v>132</v>
      </c>
      <c r="M5" s="10" t="s">
        <v>132</v>
      </c>
      <c r="N5" s="10" t="s">
        <v>132</v>
      </c>
      <c r="O5" s="10" t="s">
        <v>132</v>
      </c>
      <c r="P5" s="10" t="s">
        <v>132</v>
      </c>
      <c r="Q5" s="9" t="s">
        <v>131</v>
      </c>
      <c r="R5" s="10" t="s">
        <v>128</v>
      </c>
      <c r="S5" s="10" t="s">
        <v>132</v>
      </c>
      <c r="T5" s="10" t="s">
        <v>132</v>
      </c>
      <c r="U5" s="9" t="s">
        <v>129</v>
      </c>
      <c r="V5" s="10" t="s">
        <v>130</v>
      </c>
      <c r="W5" s="9" t="s">
        <v>192</v>
      </c>
      <c r="X5" s="9" t="s">
        <v>193</v>
      </c>
      <c r="Y5" s="114" t="s">
        <v>133</v>
      </c>
      <c r="Z5" s="114" t="s">
        <v>134</v>
      </c>
      <c r="AA5" s="114" t="s">
        <v>135</v>
      </c>
      <c r="AB5" s="114" t="s">
        <v>136</v>
      </c>
      <c r="AC5" s="114" t="s">
        <v>137</v>
      </c>
      <c r="AD5" s="114" t="s">
        <v>138</v>
      </c>
      <c r="AE5" s="9" t="s">
        <v>139</v>
      </c>
      <c r="AF5" s="9" t="s">
        <v>128</v>
      </c>
      <c r="AG5" s="9" t="s">
        <v>132</v>
      </c>
      <c r="AH5" s="9" t="s">
        <v>132</v>
      </c>
      <c r="AI5" s="9" t="s">
        <v>132</v>
      </c>
      <c r="AJ5" s="9" t="s">
        <v>194</v>
      </c>
      <c r="AK5" s="9" t="s">
        <v>140</v>
      </c>
      <c r="AL5" s="9" t="s">
        <v>141</v>
      </c>
      <c r="AM5" s="9" t="s">
        <v>142</v>
      </c>
      <c r="AN5" s="9" t="s">
        <v>143</v>
      </c>
      <c r="AO5" s="10" t="s">
        <v>128</v>
      </c>
      <c r="AP5" s="10" t="s">
        <v>132</v>
      </c>
      <c r="AQ5" s="9" t="s">
        <v>141</v>
      </c>
      <c r="AR5" s="10" t="s">
        <v>128</v>
      </c>
      <c r="AS5" s="9" t="s">
        <v>144</v>
      </c>
      <c r="AT5" s="9" t="s">
        <v>144</v>
      </c>
      <c r="AU5" s="9" t="s">
        <v>145</v>
      </c>
      <c r="AV5" s="9" t="s">
        <v>146</v>
      </c>
      <c r="AW5" s="9" t="s">
        <v>190</v>
      </c>
      <c r="AX5" s="9" t="s">
        <v>191</v>
      </c>
      <c r="AY5" s="9" t="s">
        <v>147</v>
      </c>
      <c r="AZ5" s="10" t="s">
        <v>148</v>
      </c>
      <c r="BA5" s="9" t="s">
        <v>149</v>
      </c>
      <c r="BB5" s="10" t="s">
        <v>77</v>
      </c>
    </row>
    <row r="6" spans="1:54" ht="13.5" customHeight="1" x14ac:dyDescent="0.2">
      <c r="A6" s="11"/>
      <c r="B6" s="12"/>
      <c r="C6" s="115"/>
      <c r="D6" s="13"/>
      <c r="E6" s="14"/>
      <c r="F6" s="91"/>
      <c r="G6" s="14"/>
      <c r="H6" s="91"/>
      <c r="I6" s="14"/>
      <c r="J6" s="17">
        <v>1.1000000000000001</v>
      </c>
      <c r="K6" s="17">
        <v>1.37</v>
      </c>
      <c r="L6" s="17">
        <v>1.47</v>
      </c>
      <c r="M6" s="17">
        <v>1.62</v>
      </c>
      <c r="N6" s="17">
        <v>2</v>
      </c>
      <c r="O6" s="17">
        <v>2.15</v>
      </c>
      <c r="P6" s="17">
        <v>3</v>
      </c>
      <c r="Q6" s="91"/>
      <c r="R6" s="14"/>
      <c r="S6" s="17">
        <v>1.3</v>
      </c>
      <c r="T6" s="17">
        <v>1.5</v>
      </c>
      <c r="U6" s="13"/>
      <c r="V6" s="15"/>
      <c r="W6" s="13"/>
      <c r="X6" s="15"/>
      <c r="Y6" s="16">
        <v>1.1000000000000001</v>
      </c>
      <c r="Z6" s="16">
        <v>1.37</v>
      </c>
      <c r="AA6" s="16">
        <v>1.62</v>
      </c>
      <c r="AB6" s="16">
        <v>1.47</v>
      </c>
      <c r="AC6" s="16">
        <v>2.17</v>
      </c>
      <c r="AD6" s="16">
        <v>3</v>
      </c>
      <c r="AE6" s="13"/>
      <c r="AF6" s="13"/>
      <c r="AG6" s="17">
        <v>1.65</v>
      </c>
      <c r="AH6" s="17">
        <v>2.1</v>
      </c>
      <c r="AI6" s="17">
        <v>3</v>
      </c>
      <c r="AJ6" s="13"/>
      <c r="AK6" s="15"/>
      <c r="AL6" s="13"/>
      <c r="AM6" s="15"/>
      <c r="AN6" s="91"/>
      <c r="AO6" s="14"/>
      <c r="AP6" s="17">
        <v>1.5</v>
      </c>
      <c r="AQ6" s="13"/>
      <c r="AR6" s="13"/>
      <c r="AS6" s="17">
        <v>1.3</v>
      </c>
      <c r="AT6" s="17">
        <v>1.45</v>
      </c>
      <c r="AU6" s="13"/>
      <c r="AV6" s="13"/>
      <c r="AW6" s="13"/>
      <c r="AX6" s="13"/>
      <c r="AY6" s="13"/>
      <c r="AZ6" s="15"/>
      <c r="BA6" s="14"/>
      <c r="BB6" s="14"/>
    </row>
    <row r="7" spans="1:54" s="20" customFormat="1" ht="13.5" customHeight="1" x14ac:dyDescent="0.2">
      <c r="A7" s="18"/>
      <c r="B7" s="19"/>
      <c r="C7" s="142" t="s">
        <v>71</v>
      </c>
      <c r="D7" s="116" t="s">
        <v>72</v>
      </c>
      <c r="E7" s="117" t="s">
        <v>72</v>
      </c>
      <c r="F7" s="116" t="s">
        <v>72</v>
      </c>
      <c r="G7" s="117" t="s">
        <v>72</v>
      </c>
      <c r="H7" s="117" t="s">
        <v>72</v>
      </c>
      <c r="I7" s="117" t="s">
        <v>72</v>
      </c>
      <c r="J7" s="117" t="s">
        <v>72</v>
      </c>
      <c r="K7" s="117" t="s">
        <v>72</v>
      </c>
      <c r="L7" s="117" t="s">
        <v>72</v>
      </c>
      <c r="M7" s="117" t="s">
        <v>72</v>
      </c>
      <c r="N7" s="117" t="s">
        <v>72</v>
      </c>
      <c r="O7" s="117" t="s">
        <v>72</v>
      </c>
      <c r="P7" s="117" t="s">
        <v>72</v>
      </c>
      <c r="Q7" s="117" t="s">
        <v>72</v>
      </c>
      <c r="R7" s="117" t="s">
        <v>72</v>
      </c>
      <c r="S7" s="117" t="s">
        <v>72</v>
      </c>
      <c r="T7" s="117" t="s">
        <v>72</v>
      </c>
      <c r="U7" s="117" t="s">
        <v>72</v>
      </c>
      <c r="V7" s="117" t="s">
        <v>72</v>
      </c>
      <c r="W7" s="117" t="s">
        <v>72</v>
      </c>
      <c r="X7" s="117" t="s">
        <v>72</v>
      </c>
      <c r="Y7" s="117" t="s">
        <v>72</v>
      </c>
      <c r="Z7" s="117" t="s">
        <v>72</v>
      </c>
      <c r="AA7" s="117" t="s">
        <v>72</v>
      </c>
      <c r="AB7" s="117" t="s">
        <v>72</v>
      </c>
      <c r="AC7" s="117" t="s">
        <v>72</v>
      </c>
      <c r="AD7" s="117" t="s">
        <v>72</v>
      </c>
      <c r="AE7" s="117" t="s">
        <v>72</v>
      </c>
      <c r="AF7" s="117" t="s">
        <v>72</v>
      </c>
      <c r="AG7" s="117" t="s">
        <v>72</v>
      </c>
      <c r="AH7" s="117" t="s">
        <v>72</v>
      </c>
      <c r="AI7" s="117" t="s">
        <v>72</v>
      </c>
      <c r="AJ7" s="117" t="s">
        <v>72</v>
      </c>
      <c r="AK7" s="117" t="s">
        <v>72</v>
      </c>
      <c r="AL7" s="117" t="s">
        <v>72</v>
      </c>
      <c r="AM7" s="117" t="s">
        <v>72</v>
      </c>
      <c r="AN7" s="116" t="s">
        <v>72</v>
      </c>
      <c r="AO7" s="117" t="s">
        <v>72</v>
      </c>
      <c r="AP7" s="117" t="s">
        <v>72</v>
      </c>
      <c r="AQ7" s="116" t="s">
        <v>72</v>
      </c>
      <c r="AR7" s="117" t="s">
        <v>72</v>
      </c>
      <c r="AS7" s="117" t="s">
        <v>72</v>
      </c>
      <c r="AT7" s="117" t="s">
        <v>72</v>
      </c>
      <c r="AU7" s="116" t="s">
        <v>72</v>
      </c>
      <c r="AV7" s="117" t="s">
        <v>72</v>
      </c>
      <c r="AW7" s="116" t="s">
        <v>72</v>
      </c>
      <c r="AX7" s="117" t="s">
        <v>72</v>
      </c>
      <c r="AY7" s="116" t="s">
        <v>72</v>
      </c>
      <c r="AZ7" s="117" t="s">
        <v>72</v>
      </c>
      <c r="BA7" s="117" t="s">
        <v>72</v>
      </c>
      <c r="BB7" s="117" t="s">
        <v>72</v>
      </c>
    </row>
    <row r="8" spans="1:54" x14ac:dyDescent="0.2">
      <c r="A8" s="143"/>
      <c r="B8" s="144" t="s">
        <v>3</v>
      </c>
      <c r="C8" s="144"/>
      <c r="D8" s="144"/>
      <c r="E8" s="144"/>
      <c r="F8" s="145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5"/>
      <c r="AO8" s="144"/>
      <c r="AP8" s="144"/>
      <c r="AQ8" s="145"/>
      <c r="AR8" s="144"/>
      <c r="AS8" s="144"/>
      <c r="AT8" s="144"/>
      <c r="AU8" s="145"/>
      <c r="AV8" s="144"/>
      <c r="AW8" s="145"/>
      <c r="AX8" s="144"/>
      <c r="AY8" s="145"/>
      <c r="AZ8" s="146"/>
      <c r="BA8" s="144"/>
      <c r="BB8" s="147"/>
    </row>
    <row r="9" spans="1:54" x14ac:dyDescent="0.2">
      <c r="A9" s="21"/>
      <c r="B9" s="22"/>
      <c r="C9" s="23"/>
      <c r="D9" s="24"/>
      <c r="E9" s="25"/>
      <c r="F9" s="24"/>
      <c r="G9" s="25"/>
      <c r="H9" s="24"/>
      <c r="I9" s="25"/>
      <c r="J9" s="27"/>
      <c r="K9" s="27"/>
      <c r="L9" s="27"/>
      <c r="M9" s="27"/>
      <c r="N9" s="27"/>
      <c r="O9" s="27"/>
      <c r="P9" s="27"/>
      <c r="Q9" s="26"/>
      <c r="R9" s="25"/>
      <c r="S9" s="27"/>
      <c r="T9" s="27"/>
      <c r="U9" s="26"/>
      <c r="V9" s="25"/>
      <c r="W9" s="26"/>
      <c r="X9" s="25"/>
      <c r="Y9" s="27"/>
      <c r="Z9" s="27"/>
      <c r="AA9" s="27"/>
      <c r="AB9" s="27"/>
      <c r="AC9" s="27"/>
      <c r="AD9" s="27"/>
      <c r="AE9" s="24"/>
      <c r="AF9" s="24"/>
      <c r="AG9" s="28"/>
      <c r="AH9" s="28"/>
      <c r="AI9" s="28"/>
      <c r="AJ9" s="26"/>
      <c r="AK9" s="25"/>
      <c r="AL9" s="26"/>
      <c r="AM9" s="25"/>
      <c r="AN9" s="26"/>
      <c r="AO9" s="25"/>
      <c r="AP9" s="28"/>
      <c r="AQ9" s="26"/>
      <c r="AR9" s="25"/>
      <c r="AS9" s="28"/>
      <c r="AT9" s="28"/>
      <c r="AU9" s="26"/>
      <c r="AV9" s="25"/>
      <c r="AW9" s="24"/>
      <c r="AX9" s="25"/>
      <c r="AY9" s="26"/>
      <c r="AZ9" s="25"/>
      <c r="BA9" s="26"/>
      <c r="BB9" s="25"/>
    </row>
    <row r="10" spans="1:54" x14ac:dyDescent="0.2">
      <c r="A10" s="29"/>
      <c r="B10" s="30" t="s">
        <v>74</v>
      </c>
      <c r="C10" s="31"/>
      <c r="D10" s="32"/>
      <c r="E10" s="33"/>
      <c r="F10" s="34"/>
      <c r="G10" s="33"/>
      <c r="H10" s="34"/>
      <c r="I10" s="33"/>
      <c r="J10" s="37"/>
      <c r="K10" s="37"/>
      <c r="L10" s="37"/>
      <c r="M10" s="37"/>
      <c r="N10" s="37"/>
      <c r="O10" s="37"/>
      <c r="P10" s="37"/>
      <c r="Q10" s="34"/>
      <c r="R10" s="35"/>
      <c r="S10" s="37"/>
      <c r="T10" s="37"/>
      <c r="U10" s="34"/>
      <c r="V10" s="35"/>
      <c r="W10" s="34"/>
      <c r="X10" s="35"/>
      <c r="Y10" s="37"/>
      <c r="Z10" s="37"/>
      <c r="AA10" s="37"/>
      <c r="AB10" s="37"/>
      <c r="AC10" s="37"/>
      <c r="AD10" s="37"/>
      <c r="AE10" s="34"/>
      <c r="AF10" s="33"/>
      <c r="AG10" s="37"/>
      <c r="AH10" s="37"/>
      <c r="AI10" s="37"/>
      <c r="AJ10" s="34"/>
      <c r="AK10" s="33"/>
      <c r="AL10" s="97"/>
      <c r="AM10" s="33"/>
      <c r="AN10" s="34"/>
      <c r="AO10" s="33"/>
      <c r="AP10" s="37"/>
      <c r="AQ10" s="34"/>
      <c r="AR10" s="33"/>
      <c r="AS10" s="37"/>
      <c r="AT10" s="37"/>
      <c r="AU10" s="34"/>
      <c r="AV10" s="33"/>
      <c r="AW10" s="34"/>
      <c r="AX10" s="33"/>
      <c r="AY10" s="161"/>
      <c r="AZ10" s="33"/>
      <c r="BA10" s="36"/>
      <c r="BB10" s="33"/>
    </row>
    <row r="11" spans="1:54" s="41" customFormat="1" x14ac:dyDescent="0.2">
      <c r="A11" s="38" t="s">
        <v>4</v>
      </c>
      <c r="B11" s="39" t="s">
        <v>21</v>
      </c>
      <c r="C11" s="40">
        <v>15</v>
      </c>
      <c r="D11" s="34">
        <f>ROUND(E11*C11,1)</f>
        <v>959.7</v>
      </c>
      <c r="E11" s="33">
        <f>RCFs!C$43</f>
        <v>63.983120993999997</v>
      </c>
      <c r="F11" s="97">
        <f t="shared" ref="F11:F28" si="0">ROUNDDOWN((H11/1.039),1)</f>
        <v>380.1</v>
      </c>
      <c r="G11" s="33">
        <f>F11/C11</f>
        <v>25.34</v>
      </c>
      <c r="H11" s="97">
        <v>395</v>
      </c>
      <c r="I11" s="33">
        <f>H11/C11</f>
        <v>26.333333333333332</v>
      </c>
      <c r="J11" s="37">
        <f t="shared" ref="J11:P21" si="1">ROUND($C11*$I11*J$6,1)</f>
        <v>434.5</v>
      </c>
      <c r="K11" s="37">
        <f t="shared" si="1"/>
        <v>541.20000000000005</v>
      </c>
      <c r="L11" s="37">
        <f t="shared" si="1"/>
        <v>580.70000000000005</v>
      </c>
      <c r="M11" s="37">
        <f t="shared" si="1"/>
        <v>639.9</v>
      </c>
      <c r="N11" s="37">
        <f t="shared" si="1"/>
        <v>790</v>
      </c>
      <c r="O11" s="37">
        <f t="shared" si="1"/>
        <v>849.3</v>
      </c>
      <c r="P11" s="37">
        <f t="shared" si="1"/>
        <v>1185</v>
      </c>
      <c r="Q11" s="97">
        <v>401.6</v>
      </c>
      <c r="R11" s="33">
        <f>Q11/$C11</f>
        <v>26.773333333333333</v>
      </c>
      <c r="S11" s="37">
        <f>ROUNDDOWN($Q11*S$6,1)</f>
        <v>522</v>
      </c>
      <c r="T11" s="37">
        <f>ROUNDDOWN($Q11*T$6,1)</f>
        <v>602.4</v>
      </c>
      <c r="U11" s="97">
        <v>266.3</v>
      </c>
      <c r="V11" s="33">
        <f>U11/$C11</f>
        <v>17.753333333333334</v>
      </c>
      <c r="W11" s="97">
        <v>283.8</v>
      </c>
      <c r="X11" s="33">
        <f>W11/$C11</f>
        <v>18.920000000000002</v>
      </c>
      <c r="Y11" s="37">
        <f t="shared" ref="Y11:AD11" si="2">ROUNDDOWN($W11*Y$6,1)</f>
        <v>312.10000000000002</v>
      </c>
      <c r="Z11" s="37">
        <f t="shared" si="2"/>
        <v>388.8</v>
      </c>
      <c r="AA11" s="37">
        <f t="shared" si="2"/>
        <v>459.7</v>
      </c>
      <c r="AB11" s="37">
        <f t="shared" si="2"/>
        <v>417.1</v>
      </c>
      <c r="AC11" s="37">
        <f t="shared" si="2"/>
        <v>615.79999999999995</v>
      </c>
      <c r="AD11" s="37">
        <f t="shared" si="2"/>
        <v>851.4</v>
      </c>
      <c r="AE11" s="34">
        <v>377.8</v>
      </c>
      <c r="AF11" s="33">
        <f>AE11/$C11</f>
        <v>25.186666666666667</v>
      </c>
      <c r="AG11" s="37">
        <f t="shared" ref="AG11:AI28" si="3">ROUND($AE11*AG$6,1)</f>
        <v>623.4</v>
      </c>
      <c r="AH11" s="37">
        <f t="shared" si="3"/>
        <v>793.4</v>
      </c>
      <c r="AI11" s="37">
        <f t="shared" si="3"/>
        <v>1133.4000000000001</v>
      </c>
      <c r="AJ11" s="97">
        <v>399.6</v>
      </c>
      <c r="AK11" s="33">
        <f>AJ11/$C11</f>
        <v>26.64</v>
      </c>
      <c r="AL11" s="97">
        <v>0</v>
      </c>
      <c r="AM11" s="33">
        <f>AL11/$C11</f>
        <v>0</v>
      </c>
      <c r="AN11" s="97">
        <v>426.7</v>
      </c>
      <c r="AO11" s="33">
        <f>AN11/$C11</f>
        <v>28.446666666666665</v>
      </c>
      <c r="AP11" s="37">
        <f>ROUNDDOWN($AN11*AP$6,1)</f>
        <v>640</v>
      </c>
      <c r="AQ11" s="97">
        <v>418.8</v>
      </c>
      <c r="AR11" s="33">
        <f>AQ11/$C11</f>
        <v>27.92</v>
      </c>
      <c r="AS11" s="37">
        <f>ROUNDDOWN($AQ11*AS$6,1)</f>
        <v>544.4</v>
      </c>
      <c r="AT11" s="37">
        <f>ROUNDDOWN($AQ11*AT$6,1)</f>
        <v>607.20000000000005</v>
      </c>
      <c r="AU11" s="97">
        <v>468.07</v>
      </c>
      <c r="AV11" s="33">
        <f>AU11/$C11</f>
        <v>31.204666666666665</v>
      </c>
      <c r="AW11" s="34">
        <v>414.8</v>
      </c>
      <c r="AX11" s="98">
        <f t="shared" ref="AX11:AX28" si="4">AW11/C11</f>
        <v>27.653333333333332</v>
      </c>
      <c r="AY11" s="34">
        <v>422.7</v>
      </c>
      <c r="AZ11" s="33">
        <f>AY11/$C11</f>
        <v>28.18</v>
      </c>
      <c r="BA11" s="136">
        <f>ROUNDDOWN($C11*BB11,1)</f>
        <v>403.9</v>
      </c>
      <c r="BB11" s="33">
        <f>RCFs!I$41</f>
        <v>26.931999999999999</v>
      </c>
    </row>
    <row r="12" spans="1:54" s="41" customFormat="1" x14ac:dyDescent="0.2">
      <c r="A12" s="38" t="s">
        <v>5</v>
      </c>
      <c r="B12" s="39" t="s">
        <v>6</v>
      </c>
      <c r="C12" s="40">
        <v>15</v>
      </c>
      <c r="D12" s="34">
        <f t="shared" ref="D12:D28" si="5">E12*C12</f>
        <v>959.7468149099999</v>
      </c>
      <c r="E12" s="33">
        <f>RCFs!C$43</f>
        <v>63.983120993999997</v>
      </c>
      <c r="F12" s="97">
        <f t="shared" si="0"/>
        <v>380.1</v>
      </c>
      <c r="G12" s="33">
        <f t="shared" ref="G12:G28" si="6">F12/C12</f>
        <v>25.34</v>
      </c>
      <c r="H12" s="97">
        <v>395</v>
      </c>
      <c r="I12" s="33">
        <f t="shared" ref="I12:I28" si="7">H12/C12</f>
        <v>26.333333333333332</v>
      </c>
      <c r="J12" s="37">
        <f t="shared" si="1"/>
        <v>434.5</v>
      </c>
      <c r="K12" s="37">
        <f t="shared" si="1"/>
        <v>541.20000000000005</v>
      </c>
      <c r="L12" s="37">
        <f t="shared" si="1"/>
        <v>580.70000000000005</v>
      </c>
      <c r="M12" s="37">
        <f t="shared" si="1"/>
        <v>639.9</v>
      </c>
      <c r="N12" s="37">
        <f t="shared" si="1"/>
        <v>790</v>
      </c>
      <c r="O12" s="37">
        <f t="shared" si="1"/>
        <v>849.3</v>
      </c>
      <c r="P12" s="37">
        <f t="shared" si="1"/>
        <v>1185</v>
      </c>
      <c r="Q12" s="97">
        <v>401.6</v>
      </c>
      <c r="R12" s="33">
        <f t="shared" ref="R12:R28" si="8">Q12/$C12</f>
        <v>26.773333333333333</v>
      </c>
      <c r="S12" s="37">
        <f t="shared" ref="S12:T28" si="9">ROUNDDOWN($Q12*S$6,1)</f>
        <v>522</v>
      </c>
      <c r="T12" s="37">
        <f t="shared" si="9"/>
        <v>602.4</v>
      </c>
      <c r="U12" s="97">
        <v>371.7</v>
      </c>
      <c r="V12" s="33">
        <f t="shared" ref="V12:V28" si="10">U12/$C12</f>
        <v>24.779999999999998</v>
      </c>
      <c r="W12" s="97">
        <v>395.8</v>
      </c>
      <c r="X12" s="33">
        <f t="shared" ref="X12:X28" si="11">W12/$C12</f>
        <v>26.386666666666667</v>
      </c>
      <c r="Y12" s="37">
        <f t="shared" ref="Y12:AD27" si="12">ROUNDDOWN($W12*Y$6,1)</f>
        <v>435.3</v>
      </c>
      <c r="Z12" s="37">
        <f t="shared" si="12"/>
        <v>542.20000000000005</v>
      </c>
      <c r="AA12" s="37">
        <f t="shared" si="12"/>
        <v>641.1</v>
      </c>
      <c r="AB12" s="37">
        <f t="shared" si="12"/>
        <v>581.79999999999995</v>
      </c>
      <c r="AC12" s="37">
        <f t="shared" si="12"/>
        <v>858.8</v>
      </c>
      <c r="AD12" s="37">
        <f t="shared" si="12"/>
        <v>1187.4000000000001</v>
      </c>
      <c r="AE12" s="34">
        <v>377.8</v>
      </c>
      <c r="AF12" s="33">
        <f t="shared" ref="AF12:AF28" si="13">AE12/$C12</f>
        <v>25.186666666666667</v>
      </c>
      <c r="AG12" s="37">
        <f t="shared" si="3"/>
        <v>623.4</v>
      </c>
      <c r="AH12" s="37">
        <f t="shared" si="3"/>
        <v>793.4</v>
      </c>
      <c r="AI12" s="37">
        <f t="shared" si="3"/>
        <v>1133.4000000000001</v>
      </c>
      <c r="AJ12" s="97">
        <v>391.2</v>
      </c>
      <c r="AK12" s="33">
        <f t="shared" ref="AK12:AK28" si="14">AJ12/$C12</f>
        <v>26.08</v>
      </c>
      <c r="AL12" s="97">
        <v>0</v>
      </c>
      <c r="AM12" s="33">
        <f t="shared" ref="AM12:AM28" si="15">AL12/$C12</f>
        <v>0</v>
      </c>
      <c r="AN12" s="97">
        <v>427</v>
      </c>
      <c r="AO12" s="33">
        <f t="shared" ref="AO12:AO28" si="16">AN12/$C12</f>
        <v>28.466666666666665</v>
      </c>
      <c r="AP12" s="37">
        <f t="shared" ref="AP12:AP28" si="17">ROUNDDOWN($AN12*AP$6,1)</f>
        <v>640.5</v>
      </c>
      <c r="AQ12" s="97">
        <v>418.8</v>
      </c>
      <c r="AR12" s="33">
        <f t="shared" ref="AR12:AR28" si="18">AQ12/$C12</f>
        <v>27.92</v>
      </c>
      <c r="AS12" s="37">
        <f t="shared" ref="AS12:AT28" si="19">ROUNDDOWN($AQ12*AS$6,1)</f>
        <v>544.4</v>
      </c>
      <c r="AT12" s="37">
        <f t="shared" si="19"/>
        <v>607.20000000000005</v>
      </c>
      <c r="AU12" s="97">
        <v>468.7</v>
      </c>
      <c r="AV12" s="33">
        <f t="shared" ref="AV12:AV28" si="20">AU12/$C12</f>
        <v>31.246666666666666</v>
      </c>
      <c r="AW12" s="34">
        <v>414.8</v>
      </c>
      <c r="AX12" s="98">
        <f t="shared" si="4"/>
        <v>27.653333333333332</v>
      </c>
      <c r="AY12" s="34">
        <v>422.7</v>
      </c>
      <c r="AZ12" s="33">
        <f t="shared" ref="AZ12:AZ28" si="21">AY12/$C12</f>
        <v>28.18</v>
      </c>
      <c r="BA12" s="136">
        <f t="shared" ref="BA12:BA18" si="22">ROUNDDOWN($C12*BB12,1)</f>
        <v>403.9</v>
      </c>
      <c r="BB12" s="33">
        <f>RCFs!I$41</f>
        <v>26.931999999999999</v>
      </c>
    </row>
    <row r="13" spans="1:54" s="41" customFormat="1" x14ac:dyDescent="0.2">
      <c r="A13" s="42" t="s">
        <v>23</v>
      </c>
      <c r="B13" s="43" t="s">
        <v>24</v>
      </c>
      <c r="C13" s="40">
        <v>12</v>
      </c>
      <c r="D13" s="34">
        <f t="shared" si="5"/>
        <v>767.79745192799999</v>
      </c>
      <c r="E13" s="33">
        <f>RCFs!C$43</f>
        <v>63.983120993999997</v>
      </c>
      <c r="F13" s="97">
        <f t="shared" si="0"/>
        <v>215.3</v>
      </c>
      <c r="G13" s="33">
        <f t="shared" si="6"/>
        <v>17.941666666666666</v>
      </c>
      <c r="H13" s="97">
        <v>223.8</v>
      </c>
      <c r="I13" s="33">
        <f t="shared" si="7"/>
        <v>18.650000000000002</v>
      </c>
      <c r="J13" s="37">
        <f t="shared" si="1"/>
        <v>246.2</v>
      </c>
      <c r="K13" s="37">
        <f t="shared" si="1"/>
        <v>306.60000000000002</v>
      </c>
      <c r="L13" s="37">
        <f t="shared" si="1"/>
        <v>329</v>
      </c>
      <c r="M13" s="37">
        <f t="shared" si="1"/>
        <v>362.6</v>
      </c>
      <c r="N13" s="37">
        <f t="shared" si="1"/>
        <v>447.6</v>
      </c>
      <c r="O13" s="37">
        <f t="shared" si="1"/>
        <v>481.2</v>
      </c>
      <c r="P13" s="37">
        <f t="shared" si="1"/>
        <v>671.4</v>
      </c>
      <c r="Q13" s="97">
        <v>321.39999999999998</v>
      </c>
      <c r="R13" s="33">
        <f t="shared" si="8"/>
        <v>26.783333333333331</v>
      </c>
      <c r="S13" s="37">
        <f t="shared" si="9"/>
        <v>417.8</v>
      </c>
      <c r="T13" s="37">
        <f t="shared" si="9"/>
        <v>482.1</v>
      </c>
      <c r="U13" s="97">
        <v>237.3</v>
      </c>
      <c r="V13" s="33">
        <f t="shared" si="10"/>
        <v>19.775000000000002</v>
      </c>
      <c r="W13" s="97">
        <v>252.8</v>
      </c>
      <c r="X13" s="33">
        <f t="shared" si="11"/>
        <v>21.066666666666666</v>
      </c>
      <c r="Y13" s="37">
        <f t="shared" si="12"/>
        <v>278</v>
      </c>
      <c r="Z13" s="37">
        <f t="shared" si="12"/>
        <v>346.3</v>
      </c>
      <c r="AA13" s="37">
        <f t="shared" si="12"/>
        <v>409.5</v>
      </c>
      <c r="AB13" s="37">
        <f t="shared" si="12"/>
        <v>371.6</v>
      </c>
      <c r="AC13" s="37">
        <f t="shared" si="12"/>
        <v>548.5</v>
      </c>
      <c r="AD13" s="37">
        <f t="shared" si="12"/>
        <v>758.4</v>
      </c>
      <c r="AE13" s="34">
        <v>302.5</v>
      </c>
      <c r="AF13" s="33">
        <f t="shared" si="13"/>
        <v>25.208333333333332</v>
      </c>
      <c r="AG13" s="37">
        <f t="shared" si="3"/>
        <v>499.1</v>
      </c>
      <c r="AH13" s="37">
        <f t="shared" si="3"/>
        <v>635.29999999999995</v>
      </c>
      <c r="AI13" s="37">
        <f t="shared" si="3"/>
        <v>907.5</v>
      </c>
      <c r="AJ13" s="97">
        <v>311.60000000000002</v>
      </c>
      <c r="AK13" s="33">
        <f t="shared" si="14"/>
        <v>25.966666666666669</v>
      </c>
      <c r="AL13" s="97">
        <v>0</v>
      </c>
      <c r="AM13" s="33">
        <f t="shared" si="15"/>
        <v>0</v>
      </c>
      <c r="AN13" s="97">
        <v>342.1</v>
      </c>
      <c r="AO13" s="33">
        <f t="shared" si="16"/>
        <v>28.508333333333336</v>
      </c>
      <c r="AP13" s="37">
        <f t="shared" si="17"/>
        <v>513.1</v>
      </c>
      <c r="AQ13" s="97">
        <v>335.6</v>
      </c>
      <c r="AR13" s="33">
        <f t="shared" si="18"/>
        <v>27.966666666666669</v>
      </c>
      <c r="AS13" s="37">
        <f t="shared" si="19"/>
        <v>436.2</v>
      </c>
      <c r="AT13" s="37">
        <f t="shared" si="19"/>
        <v>486.6</v>
      </c>
      <c r="AU13" s="97">
        <v>375</v>
      </c>
      <c r="AV13" s="33">
        <f t="shared" si="20"/>
        <v>31.25</v>
      </c>
      <c r="AW13" s="97">
        <v>0</v>
      </c>
      <c r="AX13" s="98">
        <f t="shared" si="4"/>
        <v>0</v>
      </c>
      <c r="AY13" s="34">
        <v>338.2</v>
      </c>
      <c r="AZ13" s="33">
        <f t="shared" si="21"/>
        <v>28.183333333333334</v>
      </c>
      <c r="BA13" s="136">
        <f t="shared" si="22"/>
        <v>323.10000000000002</v>
      </c>
      <c r="BB13" s="33">
        <f>RCFs!I$41</f>
        <v>26.931999999999999</v>
      </c>
    </row>
    <row r="14" spans="1:54" s="41" customFormat="1" x14ac:dyDescent="0.2">
      <c r="A14" s="38" t="s">
        <v>7</v>
      </c>
      <c r="B14" s="39" t="s">
        <v>8</v>
      </c>
      <c r="C14" s="40">
        <v>5</v>
      </c>
      <c r="D14" s="34">
        <f t="shared" si="5"/>
        <v>319.91560497</v>
      </c>
      <c r="E14" s="33">
        <f>RCFs!C$43</f>
        <v>63.983120993999997</v>
      </c>
      <c r="F14" s="97">
        <f t="shared" si="0"/>
        <v>126.8</v>
      </c>
      <c r="G14" s="33">
        <f t="shared" si="6"/>
        <v>25.36</v>
      </c>
      <c r="H14" s="97">
        <v>131.80000000000001</v>
      </c>
      <c r="I14" s="33">
        <f t="shared" si="7"/>
        <v>26.360000000000003</v>
      </c>
      <c r="J14" s="37">
        <f t="shared" si="1"/>
        <v>145</v>
      </c>
      <c r="K14" s="37">
        <f t="shared" si="1"/>
        <v>180.6</v>
      </c>
      <c r="L14" s="37">
        <f t="shared" si="1"/>
        <v>193.7</v>
      </c>
      <c r="M14" s="37">
        <f t="shared" si="1"/>
        <v>213.5</v>
      </c>
      <c r="N14" s="37">
        <f t="shared" si="1"/>
        <v>263.60000000000002</v>
      </c>
      <c r="O14" s="37">
        <f t="shared" si="1"/>
        <v>283.39999999999998</v>
      </c>
      <c r="P14" s="37">
        <f t="shared" si="1"/>
        <v>395.4</v>
      </c>
      <c r="Q14" s="97">
        <v>134.19999999999999</v>
      </c>
      <c r="R14" s="33">
        <f t="shared" si="8"/>
        <v>26.839999999999996</v>
      </c>
      <c r="S14" s="37">
        <f t="shared" si="9"/>
        <v>174.4</v>
      </c>
      <c r="T14" s="37">
        <f t="shared" si="9"/>
        <v>201.3</v>
      </c>
      <c r="U14" s="97">
        <v>123.8</v>
      </c>
      <c r="V14" s="33">
        <f t="shared" si="10"/>
        <v>24.759999999999998</v>
      </c>
      <c r="W14" s="97">
        <v>131.69999999999999</v>
      </c>
      <c r="X14" s="33">
        <f t="shared" si="11"/>
        <v>26.339999999999996</v>
      </c>
      <c r="Y14" s="37">
        <f t="shared" si="12"/>
        <v>144.80000000000001</v>
      </c>
      <c r="Z14" s="37">
        <f t="shared" si="12"/>
        <v>180.4</v>
      </c>
      <c r="AA14" s="37">
        <f t="shared" si="12"/>
        <v>213.3</v>
      </c>
      <c r="AB14" s="37">
        <f t="shared" si="12"/>
        <v>193.5</v>
      </c>
      <c r="AC14" s="37">
        <f t="shared" si="12"/>
        <v>285.7</v>
      </c>
      <c r="AD14" s="37">
        <f t="shared" si="12"/>
        <v>395.1</v>
      </c>
      <c r="AE14" s="34">
        <v>126.3</v>
      </c>
      <c r="AF14" s="33">
        <f t="shared" si="13"/>
        <v>25.259999999999998</v>
      </c>
      <c r="AG14" s="37">
        <f t="shared" si="3"/>
        <v>208.4</v>
      </c>
      <c r="AH14" s="37">
        <f t="shared" si="3"/>
        <v>265.2</v>
      </c>
      <c r="AI14" s="37">
        <f t="shared" si="3"/>
        <v>378.9</v>
      </c>
      <c r="AJ14" s="97">
        <v>133.1</v>
      </c>
      <c r="AK14" s="33">
        <f t="shared" si="14"/>
        <v>26.619999999999997</v>
      </c>
      <c r="AL14" s="97">
        <v>0</v>
      </c>
      <c r="AM14" s="33">
        <f t="shared" si="15"/>
        <v>0</v>
      </c>
      <c r="AN14" s="97">
        <v>142.6</v>
      </c>
      <c r="AO14" s="33">
        <f t="shared" si="16"/>
        <v>28.52</v>
      </c>
      <c r="AP14" s="37">
        <f t="shared" si="17"/>
        <v>213.9</v>
      </c>
      <c r="AQ14" s="97">
        <v>139.6</v>
      </c>
      <c r="AR14" s="33">
        <f t="shared" si="18"/>
        <v>27.919999999999998</v>
      </c>
      <c r="AS14" s="37">
        <f t="shared" si="19"/>
        <v>181.4</v>
      </c>
      <c r="AT14" s="37">
        <f t="shared" si="19"/>
        <v>202.4</v>
      </c>
      <c r="AU14" s="97">
        <v>156.19999999999999</v>
      </c>
      <c r="AV14" s="33">
        <f t="shared" si="20"/>
        <v>31.24</v>
      </c>
      <c r="AW14" s="34">
        <v>138.27000000000001</v>
      </c>
      <c r="AX14" s="98">
        <f t="shared" si="4"/>
        <v>27.654000000000003</v>
      </c>
      <c r="AY14" s="34">
        <v>140.9</v>
      </c>
      <c r="AZ14" s="33">
        <f t="shared" si="21"/>
        <v>28.18</v>
      </c>
      <c r="BA14" s="136">
        <f t="shared" si="22"/>
        <v>134.6</v>
      </c>
      <c r="BB14" s="33">
        <f>RCFs!I$41</f>
        <v>26.931999999999999</v>
      </c>
    </row>
    <row r="15" spans="1:54" s="41" customFormat="1" x14ac:dyDescent="0.2">
      <c r="A15" s="38" t="s">
        <v>25</v>
      </c>
      <c r="B15" s="39" t="s">
        <v>26</v>
      </c>
      <c r="C15" s="40">
        <v>9</v>
      </c>
      <c r="D15" s="34">
        <f t="shared" si="5"/>
        <v>575.84808894599996</v>
      </c>
      <c r="E15" s="33">
        <f>RCFs!C$43</f>
        <v>63.983120993999997</v>
      </c>
      <c r="F15" s="97">
        <f t="shared" si="0"/>
        <v>228.1</v>
      </c>
      <c r="G15" s="33">
        <f t="shared" si="6"/>
        <v>25.344444444444445</v>
      </c>
      <c r="H15" s="97">
        <v>237</v>
      </c>
      <c r="I15" s="33">
        <f t="shared" si="7"/>
        <v>26.333333333333332</v>
      </c>
      <c r="J15" s="37">
        <f t="shared" si="1"/>
        <v>260.7</v>
      </c>
      <c r="K15" s="37">
        <f t="shared" si="1"/>
        <v>324.7</v>
      </c>
      <c r="L15" s="37">
        <f t="shared" si="1"/>
        <v>348.4</v>
      </c>
      <c r="M15" s="37">
        <f t="shared" si="1"/>
        <v>383.9</v>
      </c>
      <c r="N15" s="37">
        <f t="shared" si="1"/>
        <v>474</v>
      </c>
      <c r="O15" s="37">
        <f t="shared" si="1"/>
        <v>509.6</v>
      </c>
      <c r="P15" s="37">
        <f t="shared" si="1"/>
        <v>711</v>
      </c>
      <c r="Q15" s="97">
        <v>240.9</v>
      </c>
      <c r="R15" s="33">
        <f t="shared" si="8"/>
        <v>26.766666666666666</v>
      </c>
      <c r="S15" s="37">
        <f t="shared" si="9"/>
        <v>313.10000000000002</v>
      </c>
      <c r="T15" s="37">
        <f t="shared" si="9"/>
        <v>361.3</v>
      </c>
      <c r="U15" s="97">
        <v>222.8</v>
      </c>
      <c r="V15" s="33">
        <f t="shared" si="10"/>
        <v>24.755555555555556</v>
      </c>
      <c r="W15" s="97">
        <v>237.1</v>
      </c>
      <c r="X15" s="33">
        <f t="shared" si="11"/>
        <v>26.344444444444445</v>
      </c>
      <c r="Y15" s="37">
        <f t="shared" si="12"/>
        <v>260.8</v>
      </c>
      <c r="Z15" s="37">
        <f t="shared" si="12"/>
        <v>324.8</v>
      </c>
      <c r="AA15" s="37">
        <f t="shared" si="12"/>
        <v>384.1</v>
      </c>
      <c r="AB15" s="37">
        <f t="shared" si="12"/>
        <v>348.5</v>
      </c>
      <c r="AC15" s="37">
        <f t="shared" si="12"/>
        <v>514.5</v>
      </c>
      <c r="AD15" s="37">
        <f t="shared" si="12"/>
        <v>711.3</v>
      </c>
      <c r="AE15" s="34">
        <v>266.60000000000002</v>
      </c>
      <c r="AF15" s="33">
        <f t="shared" si="13"/>
        <v>29.622222222222224</v>
      </c>
      <c r="AG15" s="37">
        <f t="shared" si="3"/>
        <v>439.9</v>
      </c>
      <c r="AH15" s="37">
        <f t="shared" si="3"/>
        <v>559.9</v>
      </c>
      <c r="AI15" s="37">
        <f t="shared" si="3"/>
        <v>799.8</v>
      </c>
      <c r="AJ15" s="97">
        <v>239.8</v>
      </c>
      <c r="AK15" s="33">
        <f t="shared" si="14"/>
        <v>26.644444444444446</v>
      </c>
      <c r="AL15" s="97">
        <v>0</v>
      </c>
      <c r="AM15" s="33">
        <f t="shared" si="15"/>
        <v>0</v>
      </c>
      <c r="AN15" s="97">
        <v>256.2</v>
      </c>
      <c r="AO15" s="33">
        <f t="shared" si="16"/>
        <v>28.466666666666665</v>
      </c>
      <c r="AP15" s="37">
        <f t="shared" si="17"/>
        <v>384.3</v>
      </c>
      <c r="AQ15" s="97">
        <v>251.5</v>
      </c>
      <c r="AR15" s="33">
        <f t="shared" si="18"/>
        <v>27.944444444444443</v>
      </c>
      <c r="AS15" s="37">
        <f t="shared" si="19"/>
        <v>326.89999999999998</v>
      </c>
      <c r="AT15" s="37">
        <f t="shared" si="19"/>
        <v>364.6</v>
      </c>
      <c r="AU15" s="97">
        <v>281.5</v>
      </c>
      <c r="AV15" s="33">
        <f t="shared" si="20"/>
        <v>31.277777777777779</v>
      </c>
      <c r="AW15" s="34">
        <v>248.88</v>
      </c>
      <c r="AX15" s="98">
        <f t="shared" si="4"/>
        <v>27.653333333333332</v>
      </c>
      <c r="AY15" s="34">
        <v>253.6</v>
      </c>
      <c r="AZ15" s="33">
        <f t="shared" si="21"/>
        <v>28.177777777777777</v>
      </c>
      <c r="BA15" s="136">
        <f t="shared" si="22"/>
        <v>242.3</v>
      </c>
      <c r="BB15" s="33">
        <f>RCFs!I$41</f>
        <v>26.931999999999999</v>
      </c>
    </row>
    <row r="16" spans="1:54" s="41" customFormat="1" x14ac:dyDescent="0.2">
      <c r="A16" s="187" t="s">
        <v>176</v>
      </c>
      <c r="B16" s="210" t="s">
        <v>177</v>
      </c>
      <c r="C16" s="189">
        <v>8</v>
      </c>
      <c r="D16" s="34">
        <f t="shared" ref="D16" si="23">E16*C16</f>
        <v>511.86496795199997</v>
      </c>
      <c r="E16" s="33">
        <f>RCFs!C$43</f>
        <v>63.983120993999997</v>
      </c>
      <c r="F16" s="192">
        <f t="shared" si="0"/>
        <v>0</v>
      </c>
      <c r="G16" s="33">
        <f t="shared" ref="G16" si="24">F16/C16</f>
        <v>0</v>
      </c>
      <c r="H16" s="97">
        <v>0</v>
      </c>
      <c r="I16" s="33">
        <f t="shared" ref="I16" si="25">H16/C16</f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192">
        <f>Q18</f>
        <v>214.1</v>
      </c>
      <c r="R16" s="33">
        <f t="shared" ref="R16" si="26">Q16/$C16</f>
        <v>26.762499999999999</v>
      </c>
      <c r="S16" s="37">
        <f t="shared" si="9"/>
        <v>278.3</v>
      </c>
      <c r="T16" s="37">
        <f t="shared" si="9"/>
        <v>321.10000000000002</v>
      </c>
      <c r="U16" s="192">
        <f>U18</f>
        <v>198.4</v>
      </c>
      <c r="V16" s="33">
        <f t="shared" ref="V16" si="27">U16/$C16</f>
        <v>24.8</v>
      </c>
      <c r="W16" s="192">
        <f>W18</f>
        <v>211.2</v>
      </c>
      <c r="X16" s="33">
        <f t="shared" ref="X16" si="28">W16/$C16</f>
        <v>26.4</v>
      </c>
      <c r="Y16" s="37">
        <f t="shared" si="12"/>
        <v>232.3</v>
      </c>
      <c r="Z16" s="37">
        <f t="shared" si="12"/>
        <v>289.3</v>
      </c>
      <c r="AA16" s="37">
        <f t="shared" si="12"/>
        <v>342.1</v>
      </c>
      <c r="AB16" s="37">
        <f t="shared" si="12"/>
        <v>310.39999999999998</v>
      </c>
      <c r="AC16" s="37">
        <f t="shared" si="12"/>
        <v>458.3</v>
      </c>
      <c r="AD16" s="37">
        <f t="shared" si="12"/>
        <v>633.6</v>
      </c>
      <c r="AE16" s="190">
        <f>AE18</f>
        <v>201.2</v>
      </c>
      <c r="AF16" s="33">
        <f t="shared" ref="AF16" si="29">AE16/$C16</f>
        <v>25.15</v>
      </c>
      <c r="AG16" s="37">
        <f t="shared" si="3"/>
        <v>332</v>
      </c>
      <c r="AH16" s="37">
        <f t="shared" si="3"/>
        <v>422.5</v>
      </c>
      <c r="AI16" s="37">
        <f t="shared" si="3"/>
        <v>603.6</v>
      </c>
      <c r="AJ16" s="97"/>
      <c r="AK16" s="33">
        <f t="shared" ref="AK16" si="30">AJ16/$C16</f>
        <v>0</v>
      </c>
      <c r="AL16" s="97">
        <v>0</v>
      </c>
      <c r="AM16" s="33">
        <f t="shared" ref="AM16" si="31">AL16/$C16</f>
        <v>0</v>
      </c>
      <c r="AN16" s="97">
        <v>0</v>
      </c>
      <c r="AO16" s="33">
        <f t="shared" si="16"/>
        <v>0</v>
      </c>
      <c r="AP16" s="37">
        <f t="shared" si="17"/>
        <v>0</v>
      </c>
      <c r="AQ16" s="192">
        <f>AQ18</f>
        <v>223.3</v>
      </c>
      <c r="AR16" s="33">
        <f t="shared" ref="AR16" si="32">AQ16/$C16</f>
        <v>27.912500000000001</v>
      </c>
      <c r="AS16" s="37">
        <f t="shared" si="19"/>
        <v>290.2</v>
      </c>
      <c r="AT16" s="37">
        <f t="shared" si="19"/>
        <v>323.7</v>
      </c>
      <c r="AU16" s="192">
        <v>0</v>
      </c>
      <c r="AV16" s="33">
        <f t="shared" ref="AV16" si="33">AU16/$C16</f>
        <v>0</v>
      </c>
      <c r="AW16" s="97">
        <v>0</v>
      </c>
      <c r="AX16" s="98">
        <f t="shared" si="4"/>
        <v>0</v>
      </c>
      <c r="AY16" s="192">
        <v>0</v>
      </c>
      <c r="AZ16" s="33">
        <f t="shared" ref="AZ16" si="34">AY16/$C16</f>
        <v>0</v>
      </c>
      <c r="BA16" s="136">
        <f t="shared" ref="BA16" si="35">ROUNDDOWN($C16*BB16,1)</f>
        <v>215.4</v>
      </c>
      <c r="BB16" s="33">
        <f>RCFs!I$41</f>
        <v>26.931999999999999</v>
      </c>
    </row>
    <row r="17" spans="1:54" s="41" customFormat="1" x14ac:dyDescent="0.2">
      <c r="A17" s="38" t="s">
        <v>9</v>
      </c>
      <c r="B17" s="211" t="s">
        <v>10</v>
      </c>
      <c r="C17" s="40">
        <v>6</v>
      </c>
      <c r="D17" s="34">
        <f t="shared" si="5"/>
        <v>383.89872596399999</v>
      </c>
      <c r="E17" s="33">
        <f>RCFs!C$43</f>
        <v>63.983120993999997</v>
      </c>
      <c r="F17" s="97">
        <f t="shared" si="0"/>
        <v>152</v>
      </c>
      <c r="G17" s="33">
        <f t="shared" si="6"/>
        <v>25.333333333333332</v>
      </c>
      <c r="H17" s="97">
        <v>158</v>
      </c>
      <c r="I17" s="33">
        <f t="shared" si="7"/>
        <v>26.333333333333332</v>
      </c>
      <c r="J17" s="37">
        <f t="shared" si="1"/>
        <v>173.8</v>
      </c>
      <c r="K17" s="37">
        <f t="shared" si="1"/>
        <v>216.5</v>
      </c>
      <c r="L17" s="37">
        <f t="shared" si="1"/>
        <v>232.3</v>
      </c>
      <c r="M17" s="37">
        <f t="shared" si="1"/>
        <v>256</v>
      </c>
      <c r="N17" s="37">
        <f t="shared" si="1"/>
        <v>316</v>
      </c>
      <c r="O17" s="37">
        <f t="shared" si="1"/>
        <v>339.7</v>
      </c>
      <c r="P17" s="37">
        <f t="shared" si="1"/>
        <v>474</v>
      </c>
      <c r="Q17" s="136">
        <f>ROUNDDOWN(R17*C17,1)</f>
        <v>160.6</v>
      </c>
      <c r="R17" s="213">
        <f>R$11</f>
        <v>26.773333333333333</v>
      </c>
      <c r="S17" s="37">
        <f t="shared" si="9"/>
        <v>208.7</v>
      </c>
      <c r="T17" s="37">
        <f t="shared" si="9"/>
        <v>240.9</v>
      </c>
      <c r="U17" s="97">
        <v>148.80000000000001</v>
      </c>
      <c r="V17" s="33">
        <f t="shared" si="10"/>
        <v>24.8</v>
      </c>
      <c r="W17" s="97">
        <v>158.5</v>
      </c>
      <c r="X17" s="33">
        <f t="shared" si="11"/>
        <v>26.416666666666668</v>
      </c>
      <c r="Y17" s="37">
        <f t="shared" si="12"/>
        <v>174.3</v>
      </c>
      <c r="Z17" s="37">
        <f t="shared" si="12"/>
        <v>217.1</v>
      </c>
      <c r="AA17" s="37">
        <f t="shared" si="12"/>
        <v>256.7</v>
      </c>
      <c r="AB17" s="37">
        <f t="shared" si="12"/>
        <v>232.9</v>
      </c>
      <c r="AC17" s="37">
        <f t="shared" si="12"/>
        <v>343.9</v>
      </c>
      <c r="AD17" s="37">
        <f t="shared" si="12"/>
        <v>475.5</v>
      </c>
      <c r="AE17" s="136">
        <v>0</v>
      </c>
      <c r="AF17" s="33">
        <f t="shared" si="13"/>
        <v>0</v>
      </c>
      <c r="AG17" s="37">
        <f t="shared" si="3"/>
        <v>0</v>
      </c>
      <c r="AH17" s="37">
        <f t="shared" si="3"/>
        <v>0</v>
      </c>
      <c r="AI17" s="37">
        <f t="shared" si="3"/>
        <v>0</v>
      </c>
      <c r="AJ17" s="97">
        <v>159.80000000000001</v>
      </c>
      <c r="AK17" s="33">
        <f t="shared" si="14"/>
        <v>26.633333333333336</v>
      </c>
      <c r="AL17" s="97">
        <v>0</v>
      </c>
      <c r="AM17" s="33">
        <f t="shared" si="15"/>
        <v>0</v>
      </c>
      <c r="AN17" s="97">
        <v>171</v>
      </c>
      <c r="AO17" s="33">
        <f t="shared" si="16"/>
        <v>28.5</v>
      </c>
      <c r="AP17" s="37">
        <f t="shared" si="17"/>
        <v>256.5</v>
      </c>
      <c r="AQ17" s="136">
        <f>ROUNDDOWN(AR$11*$C17,1)</f>
        <v>167.5</v>
      </c>
      <c r="AR17" s="33">
        <f>AR$11</f>
        <v>27.92</v>
      </c>
      <c r="AS17" s="37">
        <f t="shared" si="19"/>
        <v>217.7</v>
      </c>
      <c r="AT17" s="37">
        <f t="shared" si="19"/>
        <v>242.8</v>
      </c>
      <c r="AU17" s="97">
        <v>187.5</v>
      </c>
      <c r="AV17" s="33">
        <f t="shared" si="20"/>
        <v>31.25</v>
      </c>
      <c r="AW17" s="34">
        <v>1655.92</v>
      </c>
      <c r="AX17" s="98">
        <f t="shared" si="4"/>
        <v>275.98666666666668</v>
      </c>
      <c r="AY17" s="34">
        <v>169.09</v>
      </c>
      <c r="AZ17" s="33">
        <f t="shared" si="21"/>
        <v>28.181666666666668</v>
      </c>
      <c r="BA17" s="136">
        <f t="shared" si="22"/>
        <v>161.5</v>
      </c>
      <c r="BB17" s="33">
        <f>RCFs!I$41</f>
        <v>26.931999999999999</v>
      </c>
    </row>
    <row r="18" spans="1:54" s="41" customFormat="1" x14ac:dyDescent="0.2">
      <c r="A18" s="38" t="s">
        <v>11</v>
      </c>
      <c r="B18" s="211" t="s">
        <v>178</v>
      </c>
      <c r="C18" s="40">
        <v>8</v>
      </c>
      <c r="D18" s="34">
        <f t="shared" si="5"/>
        <v>511.86496795199997</v>
      </c>
      <c r="E18" s="33">
        <f>RCFs!C$43</f>
        <v>63.983120993999997</v>
      </c>
      <c r="F18" s="97">
        <f t="shared" si="0"/>
        <v>202.5</v>
      </c>
      <c r="G18" s="33">
        <f t="shared" si="6"/>
        <v>25.3125</v>
      </c>
      <c r="H18" s="97">
        <v>210.5</v>
      </c>
      <c r="I18" s="33">
        <f t="shared" si="7"/>
        <v>26.3125</v>
      </c>
      <c r="J18" s="37">
        <f t="shared" si="1"/>
        <v>231.6</v>
      </c>
      <c r="K18" s="37">
        <f t="shared" si="1"/>
        <v>288.39999999999998</v>
      </c>
      <c r="L18" s="37">
        <f t="shared" si="1"/>
        <v>309.39999999999998</v>
      </c>
      <c r="M18" s="37">
        <f t="shared" si="1"/>
        <v>341</v>
      </c>
      <c r="N18" s="37">
        <f t="shared" si="1"/>
        <v>421</v>
      </c>
      <c r="O18" s="37">
        <f t="shared" si="1"/>
        <v>452.6</v>
      </c>
      <c r="P18" s="37">
        <f t="shared" si="1"/>
        <v>631.5</v>
      </c>
      <c r="Q18" s="136">
        <f>ROUNDDOWN(R18*C18,1)</f>
        <v>214.1</v>
      </c>
      <c r="R18" s="213">
        <f>R$11</f>
        <v>26.773333333333333</v>
      </c>
      <c r="S18" s="37">
        <f t="shared" si="9"/>
        <v>278.3</v>
      </c>
      <c r="T18" s="37">
        <f t="shared" si="9"/>
        <v>321.10000000000002</v>
      </c>
      <c r="U18" s="97">
        <v>198.4</v>
      </c>
      <c r="V18" s="33">
        <f t="shared" si="10"/>
        <v>24.8</v>
      </c>
      <c r="W18" s="97">
        <v>211.2</v>
      </c>
      <c r="X18" s="33">
        <f t="shared" si="11"/>
        <v>26.4</v>
      </c>
      <c r="Y18" s="37">
        <f t="shared" si="12"/>
        <v>232.3</v>
      </c>
      <c r="Z18" s="37">
        <f t="shared" si="12"/>
        <v>289.3</v>
      </c>
      <c r="AA18" s="37">
        <f t="shared" si="12"/>
        <v>342.1</v>
      </c>
      <c r="AB18" s="37">
        <f t="shared" si="12"/>
        <v>310.39999999999998</v>
      </c>
      <c r="AC18" s="37">
        <f t="shared" si="12"/>
        <v>458.3</v>
      </c>
      <c r="AD18" s="37">
        <f t="shared" si="12"/>
        <v>633.6</v>
      </c>
      <c r="AE18" s="136">
        <v>201.2</v>
      </c>
      <c r="AF18" s="33">
        <f t="shared" si="13"/>
        <v>25.15</v>
      </c>
      <c r="AG18" s="37">
        <f t="shared" si="3"/>
        <v>332</v>
      </c>
      <c r="AH18" s="37">
        <f t="shared" si="3"/>
        <v>422.5</v>
      </c>
      <c r="AI18" s="37">
        <f t="shared" si="3"/>
        <v>603.6</v>
      </c>
      <c r="AJ18" s="97">
        <v>0</v>
      </c>
      <c r="AK18" s="33">
        <f t="shared" si="14"/>
        <v>0</v>
      </c>
      <c r="AL18" s="97">
        <v>0</v>
      </c>
      <c r="AM18" s="33">
        <f t="shared" si="15"/>
        <v>0</v>
      </c>
      <c r="AN18" s="97">
        <v>228.1</v>
      </c>
      <c r="AO18" s="33">
        <f t="shared" si="16"/>
        <v>28.512499999999999</v>
      </c>
      <c r="AP18" s="37">
        <f t="shared" si="17"/>
        <v>342.1</v>
      </c>
      <c r="AQ18" s="136">
        <f>ROUNDDOWN(AR$11*$C18,1)</f>
        <v>223.3</v>
      </c>
      <c r="AR18" s="33">
        <f>AR$11</f>
        <v>27.92</v>
      </c>
      <c r="AS18" s="37">
        <f t="shared" si="19"/>
        <v>290.2</v>
      </c>
      <c r="AT18" s="37">
        <f t="shared" si="19"/>
        <v>323.7</v>
      </c>
      <c r="AU18" s="97">
        <v>249.8</v>
      </c>
      <c r="AV18" s="33">
        <f t="shared" si="20"/>
        <v>31.225000000000001</v>
      </c>
      <c r="AW18" s="34">
        <v>221.22</v>
      </c>
      <c r="AX18" s="98">
        <f t="shared" si="4"/>
        <v>27.6525</v>
      </c>
      <c r="AY18" s="34">
        <v>225.45</v>
      </c>
      <c r="AZ18" s="33">
        <f t="shared" si="21"/>
        <v>28.181249999999999</v>
      </c>
      <c r="BA18" s="136">
        <f t="shared" si="22"/>
        <v>215.4</v>
      </c>
      <c r="BB18" s="33">
        <f>RCFs!I$41</f>
        <v>26.931999999999999</v>
      </c>
    </row>
    <row r="19" spans="1:54" s="41" customFormat="1" x14ac:dyDescent="0.2">
      <c r="A19" s="38" t="s">
        <v>12</v>
      </c>
      <c r="B19" s="211" t="s">
        <v>179</v>
      </c>
      <c r="C19" s="40">
        <v>14</v>
      </c>
      <c r="D19" s="34">
        <f t="shared" si="5"/>
        <v>895.76369391599997</v>
      </c>
      <c r="E19" s="33">
        <f>RCFs!C$43</f>
        <v>63.983120993999997</v>
      </c>
      <c r="F19" s="97">
        <f t="shared" si="0"/>
        <v>354.8</v>
      </c>
      <c r="G19" s="33">
        <f t="shared" si="6"/>
        <v>25.342857142857145</v>
      </c>
      <c r="H19" s="97">
        <v>368.7</v>
      </c>
      <c r="I19" s="33">
        <f t="shared" si="7"/>
        <v>26.335714285714285</v>
      </c>
      <c r="J19" s="37">
        <f t="shared" si="1"/>
        <v>405.6</v>
      </c>
      <c r="K19" s="37">
        <f t="shared" si="1"/>
        <v>505.1</v>
      </c>
      <c r="L19" s="37">
        <f t="shared" si="1"/>
        <v>542</v>
      </c>
      <c r="M19" s="37">
        <f t="shared" si="1"/>
        <v>597.29999999999995</v>
      </c>
      <c r="N19" s="37">
        <f t="shared" si="1"/>
        <v>737.4</v>
      </c>
      <c r="O19" s="37">
        <f t="shared" si="1"/>
        <v>792.7</v>
      </c>
      <c r="P19" s="37">
        <f t="shared" si="1"/>
        <v>1106.0999999999999</v>
      </c>
      <c r="Q19" s="136">
        <f>ROUNDDOWN(R19*C19,1)</f>
        <v>374.8</v>
      </c>
      <c r="R19" s="213">
        <f>R$11</f>
        <v>26.773333333333333</v>
      </c>
      <c r="S19" s="37">
        <f t="shared" si="9"/>
        <v>487.2</v>
      </c>
      <c r="T19" s="37">
        <f t="shared" si="9"/>
        <v>562.20000000000005</v>
      </c>
      <c r="U19" s="97">
        <v>347.3</v>
      </c>
      <c r="V19" s="33">
        <f t="shared" si="10"/>
        <v>24.807142857142857</v>
      </c>
      <c r="W19" s="97">
        <v>370</v>
      </c>
      <c r="X19" s="33">
        <f t="shared" si="11"/>
        <v>26.428571428571427</v>
      </c>
      <c r="Y19" s="37">
        <f t="shared" si="12"/>
        <v>407</v>
      </c>
      <c r="Z19" s="37">
        <f t="shared" si="12"/>
        <v>506.9</v>
      </c>
      <c r="AA19" s="37">
        <f t="shared" si="12"/>
        <v>599.4</v>
      </c>
      <c r="AB19" s="37">
        <f t="shared" si="12"/>
        <v>543.9</v>
      </c>
      <c r="AC19" s="37">
        <f t="shared" si="12"/>
        <v>802.9</v>
      </c>
      <c r="AD19" s="37">
        <f t="shared" si="12"/>
        <v>1110</v>
      </c>
      <c r="AE19" s="136">
        <v>352.8</v>
      </c>
      <c r="AF19" s="33">
        <f t="shared" si="13"/>
        <v>25.2</v>
      </c>
      <c r="AG19" s="37">
        <f t="shared" si="3"/>
        <v>582.1</v>
      </c>
      <c r="AH19" s="37">
        <f t="shared" si="3"/>
        <v>740.9</v>
      </c>
      <c r="AI19" s="37">
        <f t="shared" si="3"/>
        <v>1058.4000000000001</v>
      </c>
      <c r="AJ19" s="97">
        <v>372.9</v>
      </c>
      <c r="AK19" s="33">
        <f t="shared" si="14"/>
        <v>26.635714285714283</v>
      </c>
      <c r="AL19" s="97">
        <v>0</v>
      </c>
      <c r="AM19" s="33">
        <f t="shared" si="15"/>
        <v>0</v>
      </c>
      <c r="AN19" s="97">
        <v>398.8</v>
      </c>
      <c r="AO19" s="33">
        <f t="shared" si="16"/>
        <v>28.485714285714288</v>
      </c>
      <c r="AP19" s="37">
        <f t="shared" si="17"/>
        <v>598.20000000000005</v>
      </c>
      <c r="AQ19" s="136">
        <f>ROUNDDOWN(AR$11*$C19,1)</f>
        <v>390.8</v>
      </c>
      <c r="AR19" s="33">
        <f>AR$11</f>
        <v>27.92</v>
      </c>
      <c r="AS19" s="37">
        <f t="shared" si="19"/>
        <v>508</v>
      </c>
      <c r="AT19" s="37">
        <f t="shared" si="19"/>
        <v>566.6</v>
      </c>
      <c r="AU19" s="97">
        <v>437.3</v>
      </c>
      <c r="AV19" s="33">
        <f t="shared" si="20"/>
        <v>31.235714285714288</v>
      </c>
      <c r="AW19" s="34">
        <v>387.14</v>
      </c>
      <c r="AX19" s="98">
        <f t="shared" si="4"/>
        <v>27.65285714285714</v>
      </c>
      <c r="AY19" s="34">
        <v>394.53</v>
      </c>
      <c r="AZ19" s="33">
        <f t="shared" si="21"/>
        <v>28.180714285714284</v>
      </c>
      <c r="BA19" s="136">
        <f>ROUNDDOWN($C19*BB19,1)</f>
        <v>377</v>
      </c>
      <c r="BB19" s="33">
        <f>RCFs!I$41</f>
        <v>26.931999999999999</v>
      </c>
    </row>
    <row r="20" spans="1:54" x14ac:dyDescent="0.2">
      <c r="A20" s="38" t="s">
        <v>27</v>
      </c>
      <c r="B20" s="39" t="s">
        <v>48</v>
      </c>
      <c r="C20" s="34"/>
      <c r="D20" s="34">
        <f t="shared" si="5"/>
        <v>0</v>
      </c>
      <c r="E20" s="33">
        <v>0</v>
      </c>
      <c r="F20" s="97">
        <f t="shared" si="0"/>
        <v>0</v>
      </c>
      <c r="G20" s="33">
        <v>0</v>
      </c>
      <c r="H20" s="97">
        <v>0</v>
      </c>
      <c r="I20" s="34"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1"/>
        <v>0</v>
      </c>
      <c r="O20" s="37">
        <f t="shared" si="1"/>
        <v>0</v>
      </c>
      <c r="P20" s="37">
        <f t="shared" si="1"/>
        <v>0</v>
      </c>
      <c r="Q20" s="97">
        <v>0</v>
      </c>
      <c r="R20" s="33">
        <v>0</v>
      </c>
      <c r="S20" s="37">
        <f t="shared" si="9"/>
        <v>0</v>
      </c>
      <c r="T20" s="37">
        <f t="shared" si="9"/>
        <v>0</v>
      </c>
      <c r="U20" s="97">
        <v>0</v>
      </c>
      <c r="V20" s="33">
        <v>0</v>
      </c>
      <c r="W20" s="97">
        <v>0</v>
      </c>
      <c r="X20" s="33">
        <v>0</v>
      </c>
      <c r="Y20" s="37">
        <f t="shared" si="12"/>
        <v>0</v>
      </c>
      <c r="Z20" s="37">
        <f t="shared" si="12"/>
        <v>0</v>
      </c>
      <c r="AA20" s="37">
        <f t="shared" si="12"/>
        <v>0</v>
      </c>
      <c r="AB20" s="37">
        <f t="shared" si="12"/>
        <v>0</v>
      </c>
      <c r="AC20" s="37">
        <f t="shared" si="12"/>
        <v>0</v>
      </c>
      <c r="AD20" s="37">
        <f t="shared" si="12"/>
        <v>0</v>
      </c>
      <c r="AE20" s="34">
        <v>0</v>
      </c>
      <c r="AF20" s="33">
        <v>0</v>
      </c>
      <c r="AG20" s="37">
        <f t="shared" si="3"/>
        <v>0</v>
      </c>
      <c r="AH20" s="37">
        <f t="shared" si="3"/>
        <v>0</v>
      </c>
      <c r="AI20" s="37">
        <f t="shared" si="3"/>
        <v>0</v>
      </c>
      <c r="AJ20" s="97">
        <v>0</v>
      </c>
      <c r="AK20" s="33">
        <v>0</v>
      </c>
      <c r="AL20" s="97">
        <v>0</v>
      </c>
      <c r="AM20" s="33">
        <v>0</v>
      </c>
      <c r="AN20" s="97">
        <v>0</v>
      </c>
      <c r="AO20" s="33" t="e">
        <f t="shared" si="16"/>
        <v>#DIV/0!</v>
      </c>
      <c r="AP20" s="37">
        <f t="shared" si="17"/>
        <v>0</v>
      </c>
      <c r="AQ20" s="136">
        <f>ROUNDDOWN(AR$11*$C20,1)</f>
        <v>0</v>
      </c>
      <c r="AR20" s="33"/>
      <c r="AS20" s="37">
        <f t="shared" si="19"/>
        <v>0</v>
      </c>
      <c r="AT20" s="37">
        <f t="shared" si="19"/>
        <v>0</v>
      </c>
      <c r="AU20" s="97">
        <v>0</v>
      </c>
      <c r="AV20" s="33">
        <v>0</v>
      </c>
      <c r="AW20" s="34">
        <v>0</v>
      </c>
      <c r="AX20" s="97">
        <v>0</v>
      </c>
      <c r="AY20" s="34">
        <v>450.9</v>
      </c>
      <c r="AZ20" s="33">
        <v>0</v>
      </c>
      <c r="BA20" s="34">
        <v>0</v>
      </c>
      <c r="BB20" s="33">
        <v>0</v>
      </c>
    </row>
    <row r="21" spans="1:54" s="41" customFormat="1" x14ac:dyDescent="0.2">
      <c r="A21" s="38" t="s">
        <v>18</v>
      </c>
      <c r="B21" s="39" t="s">
        <v>69</v>
      </c>
      <c r="C21" s="40">
        <v>15</v>
      </c>
      <c r="D21" s="34">
        <f t="shared" si="5"/>
        <v>959.7468149099999</v>
      </c>
      <c r="E21" s="33">
        <f>RCFs!C$43</f>
        <v>63.983120993999997</v>
      </c>
      <c r="F21" s="97">
        <f t="shared" si="0"/>
        <v>430.7</v>
      </c>
      <c r="G21" s="33">
        <f t="shared" si="6"/>
        <v>28.713333333333331</v>
      </c>
      <c r="H21" s="97">
        <v>447.6</v>
      </c>
      <c r="I21" s="33">
        <f t="shared" si="7"/>
        <v>29.84</v>
      </c>
      <c r="J21" s="37">
        <f t="shared" si="1"/>
        <v>492.4</v>
      </c>
      <c r="K21" s="37">
        <f t="shared" si="1"/>
        <v>613.20000000000005</v>
      </c>
      <c r="L21" s="37">
        <f t="shared" si="1"/>
        <v>658</v>
      </c>
      <c r="M21" s="37">
        <f t="shared" si="1"/>
        <v>725.1</v>
      </c>
      <c r="N21" s="37">
        <f t="shared" si="1"/>
        <v>895.2</v>
      </c>
      <c r="O21" s="37">
        <f t="shared" si="1"/>
        <v>962.3</v>
      </c>
      <c r="P21" s="37">
        <f t="shared" si="1"/>
        <v>1342.8</v>
      </c>
      <c r="Q21" s="97">
        <v>455.4</v>
      </c>
      <c r="R21" s="33">
        <f t="shared" si="8"/>
        <v>30.36</v>
      </c>
      <c r="S21" s="37">
        <f t="shared" si="9"/>
        <v>592</v>
      </c>
      <c r="T21" s="37">
        <f t="shared" si="9"/>
        <v>683.1</v>
      </c>
      <c r="U21" s="97">
        <v>421.8</v>
      </c>
      <c r="V21" s="33">
        <f t="shared" si="10"/>
        <v>28.12</v>
      </c>
      <c r="W21" s="97">
        <v>449.2</v>
      </c>
      <c r="X21" s="33">
        <f t="shared" si="11"/>
        <v>29.946666666666665</v>
      </c>
      <c r="Y21" s="37">
        <f t="shared" si="12"/>
        <v>494.1</v>
      </c>
      <c r="Z21" s="37">
        <f t="shared" si="12"/>
        <v>615.4</v>
      </c>
      <c r="AA21" s="37">
        <f t="shared" si="12"/>
        <v>727.7</v>
      </c>
      <c r="AB21" s="37">
        <f t="shared" si="12"/>
        <v>660.3</v>
      </c>
      <c r="AC21" s="37">
        <f t="shared" si="12"/>
        <v>974.7</v>
      </c>
      <c r="AD21" s="37">
        <f t="shared" si="12"/>
        <v>1347.6</v>
      </c>
      <c r="AE21" s="34">
        <v>428.4</v>
      </c>
      <c r="AF21" s="33">
        <f t="shared" si="13"/>
        <v>28.56</v>
      </c>
      <c r="AG21" s="37">
        <f t="shared" si="3"/>
        <v>706.9</v>
      </c>
      <c r="AH21" s="37">
        <f t="shared" si="3"/>
        <v>899.6</v>
      </c>
      <c r="AI21" s="37">
        <f t="shared" si="3"/>
        <v>1285.2</v>
      </c>
      <c r="AJ21" s="97">
        <v>441.4</v>
      </c>
      <c r="AK21" s="33">
        <f t="shared" si="14"/>
        <v>29.426666666666666</v>
      </c>
      <c r="AL21" s="97">
        <v>0</v>
      </c>
      <c r="AM21" s="33">
        <f t="shared" si="15"/>
        <v>0</v>
      </c>
      <c r="AN21" s="97">
        <v>484.4</v>
      </c>
      <c r="AO21" s="33">
        <f t="shared" si="16"/>
        <v>32.293333333333329</v>
      </c>
      <c r="AP21" s="37">
        <f t="shared" si="17"/>
        <v>726.6</v>
      </c>
      <c r="AQ21" s="97">
        <v>475.1</v>
      </c>
      <c r="AR21" s="33">
        <f t="shared" si="18"/>
        <v>31.673333333333336</v>
      </c>
      <c r="AS21" s="37">
        <f t="shared" si="19"/>
        <v>617.6</v>
      </c>
      <c r="AT21" s="37">
        <f t="shared" si="19"/>
        <v>688.8</v>
      </c>
      <c r="AU21" s="97">
        <v>530.70000000000005</v>
      </c>
      <c r="AV21" s="33">
        <f t="shared" si="20"/>
        <v>35.380000000000003</v>
      </c>
      <c r="AW21" s="34">
        <v>470.1</v>
      </c>
      <c r="AX21" s="98">
        <f t="shared" si="4"/>
        <v>31.34</v>
      </c>
      <c r="AY21" s="34">
        <v>479.1</v>
      </c>
      <c r="AZ21" s="33">
        <f t="shared" si="21"/>
        <v>31.94</v>
      </c>
      <c r="BA21" s="97">
        <v>700.1</v>
      </c>
      <c r="BB21" s="33">
        <f t="shared" ref="BB21:BB26" si="36">BA21/$C21</f>
        <v>46.673333333333332</v>
      </c>
    </row>
    <row r="22" spans="1:54" s="41" customFormat="1" x14ac:dyDescent="0.2">
      <c r="A22" s="38" t="s">
        <v>19</v>
      </c>
      <c r="B22" s="39" t="s">
        <v>69</v>
      </c>
      <c r="C22" s="40">
        <v>30</v>
      </c>
      <c r="D22" s="34">
        <f t="shared" si="5"/>
        <v>1919.4936298199998</v>
      </c>
      <c r="E22" s="33">
        <f>RCFs!C$43</f>
        <v>63.983120993999997</v>
      </c>
      <c r="F22" s="34">
        <f t="shared" si="0"/>
        <v>430.7</v>
      </c>
      <c r="G22" s="33">
        <f t="shared" si="6"/>
        <v>14.356666666666666</v>
      </c>
      <c r="H22" s="97">
        <v>447.6</v>
      </c>
      <c r="I22" s="33">
        <f t="shared" si="7"/>
        <v>14.92</v>
      </c>
      <c r="J22" s="37">
        <f t="shared" ref="J22:P28" si="37">ROUND($C22*$I22*J$6,1)</f>
        <v>492.4</v>
      </c>
      <c r="K22" s="37">
        <f t="shared" si="37"/>
        <v>613.20000000000005</v>
      </c>
      <c r="L22" s="37">
        <f t="shared" si="37"/>
        <v>658</v>
      </c>
      <c r="M22" s="37">
        <f t="shared" si="37"/>
        <v>725.1</v>
      </c>
      <c r="N22" s="37">
        <f t="shared" si="37"/>
        <v>895.2</v>
      </c>
      <c r="O22" s="37">
        <f t="shared" si="37"/>
        <v>962.3</v>
      </c>
      <c r="P22" s="37">
        <f t="shared" si="37"/>
        <v>1342.8</v>
      </c>
      <c r="Q22" s="97">
        <v>455.4</v>
      </c>
      <c r="R22" s="33">
        <f t="shared" si="8"/>
        <v>15.18</v>
      </c>
      <c r="S22" s="37">
        <f t="shared" si="9"/>
        <v>592</v>
      </c>
      <c r="T22" s="37">
        <f t="shared" si="9"/>
        <v>683.1</v>
      </c>
      <c r="U22" s="97">
        <v>421.8</v>
      </c>
      <c r="V22" s="33">
        <f t="shared" si="10"/>
        <v>14.06</v>
      </c>
      <c r="W22" s="97">
        <v>449.2</v>
      </c>
      <c r="X22" s="33">
        <f t="shared" si="11"/>
        <v>14.973333333333333</v>
      </c>
      <c r="Y22" s="37">
        <f t="shared" si="12"/>
        <v>494.1</v>
      </c>
      <c r="Z22" s="37">
        <f t="shared" si="12"/>
        <v>615.4</v>
      </c>
      <c r="AA22" s="37">
        <f t="shared" si="12"/>
        <v>727.7</v>
      </c>
      <c r="AB22" s="37">
        <f t="shared" si="12"/>
        <v>660.3</v>
      </c>
      <c r="AC22" s="37">
        <f t="shared" si="12"/>
        <v>974.7</v>
      </c>
      <c r="AD22" s="37">
        <f t="shared" si="12"/>
        <v>1347.6</v>
      </c>
      <c r="AE22" s="34">
        <v>428.4</v>
      </c>
      <c r="AF22" s="33">
        <f t="shared" si="13"/>
        <v>14.28</v>
      </c>
      <c r="AG22" s="37">
        <f t="shared" si="3"/>
        <v>706.9</v>
      </c>
      <c r="AH22" s="37">
        <f t="shared" si="3"/>
        <v>899.6</v>
      </c>
      <c r="AI22" s="37">
        <f t="shared" si="3"/>
        <v>1285.2</v>
      </c>
      <c r="AJ22" s="97">
        <v>441.4</v>
      </c>
      <c r="AK22" s="33">
        <f t="shared" si="14"/>
        <v>14.713333333333333</v>
      </c>
      <c r="AL22" s="97">
        <v>0</v>
      </c>
      <c r="AM22" s="33">
        <f t="shared" si="15"/>
        <v>0</v>
      </c>
      <c r="AN22" s="97">
        <v>484.4</v>
      </c>
      <c r="AO22" s="33">
        <f t="shared" si="16"/>
        <v>16.146666666666665</v>
      </c>
      <c r="AP22" s="37">
        <f t="shared" si="17"/>
        <v>726.6</v>
      </c>
      <c r="AQ22" s="97">
        <v>475.1</v>
      </c>
      <c r="AR22" s="33">
        <f t="shared" si="18"/>
        <v>15.836666666666668</v>
      </c>
      <c r="AS22" s="37">
        <f t="shared" si="19"/>
        <v>617.6</v>
      </c>
      <c r="AT22" s="37">
        <f t="shared" si="19"/>
        <v>688.8</v>
      </c>
      <c r="AU22" s="97">
        <v>530.70000000000005</v>
      </c>
      <c r="AV22" s="33">
        <f t="shared" si="20"/>
        <v>17.690000000000001</v>
      </c>
      <c r="AW22" s="34">
        <v>470.1</v>
      </c>
      <c r="AX22" s="98">
        <f t="shared" si="4"/>
        <v>15.67</v>
      </c>
      <c r="AY22" s="34">
        <v>479.1</v>
      </c>
      <c r="AZ22" s="33">
        <f t="shared" si="21"/>
        <v>15.97</v>
      </c>
      <c r="BA22" s="97">
        <v>700.1</v>
      </c>
      <c r="BB22" s="33">
        <f t="shared" si="36"/>
        <v>23.336666666666666</v>
      </c>
    </row>
    <row r="23" spans="1:54" s="41" customFormat="1" x14ac:dyDescent="0.2">
      <c r="A23" s="38" t="s">
        <v>20</v>
      </c>
      <c r="B23" s="39" t="s">
        <v>69</v>
      </c>
      <c r="C23" s="40">
        <v>45</v>
      </c>
      <c r="D23" s="34">
        <f t="shared" si="5"/>
        <v>2879.24044473</v>
      </c>
      <c r="E23" s="33">
        <f>RCFs!C$43</f>
        <v>63.983120993999997</v>
      </c>
      <c r="F23" s="97">
        <f t="shared" si="0"/>
        <v>430.7</v>
      </c>
      <c r="G23" s="33">
        <f t="shared" si="6"/>
        <v>9.5711111111111116</v>
      </c>
      <c r="H23" s="97">
        <v>447.6</v>
      </c>
      <c r="I23" s="33">
        <f t="shared" si="7"/>
        <v>9.9466666666666672</v>
      </c>
      <c r="J23" s="37">
        <f t="shared" si="37"/>
        <v>492.4</v>
      </c>
      <c r="K23" s="37">
        <f t="shared" si="37"/>
        <v>613.20000000000005</v>
      </c>
      <c r="L23" s="37">
        <f t="shared" si="37"/>
        <v>658</v>
      </c>
      <c r="M23" s="37">
        <f t="shared" si="37"/>
        <v>725.1</v>
      </c>
      <c r="N23" s="37">
        <f t="shared" si="37"/>
        <v>895.2</v>
      </c>
      <c r="O23" s="37">
        <f t="shared" si="37"/>
        <v>962.3</v>
      </c>
      <c r="P23" s="37">
        <f t="shared" si="37"/>
        <v>1342.8</v>
      </c>
      <c r="Q23" s="97">
        <v>455.4</v>
      </c>
      <c r="R23" s="33">
        <f t="shared" si="8"/>
        <v>10.119999999999999</v>
      </c>
      <c r="S23" s="37">
        <f t="shared" si="9"/>
        <v>592</v>
      </c>
      <c r="T23" s="37">
        <f t="shared" si="9"/>
        <v>683.1</v>
      </c>
      <c r="U23" s="97">
        <v>421.8</v>
      </c>
      <c r="V23" s="33">
        <f t="shared" si="10"/>
        <v>9.3733333333333331</v>
      </c>
      <c r="W23" s="97">
        <v>449.2</v>
      </c>
      <c r="X23" s="33">
        <f t="shared" si="11"/>
        <v>9.9822222222222212</v>
      </c>
      <c r="Y23" s="37">
        <f t="shared" si="12"/>
        <v>494.1</v>
      </c>
      <c r="Z23" s="37">
        <f t="shared" si="12"/>
        <v>615.4</v>
      </c>
      <c r="AA23" s="37">
        <f t="shared" si="12"/>
        <v>727.7</v>
      </c>
      <c r="AB23" s="37">
        <f t="shared" si="12"/>
        <v>660.3</v>
      </c>
      <c r="AC23" s="37">
        <f t="shared" si="12"/>
        <v>974.7</v>
      </c>
      <c r="AD23" s="37">
        <f t="shared" si="12"/>
        <v>1347.6</v>
      </c>
      <c r="AE23" s="34">
        <v>428.4</v>
      </c>
      <c r="AF23" s="33">
        <f t="shared" si="13"/>
        <v>9.52</v>
      </c>
      <c r="AG23" s="37">
        <f t="shared" si="3"/>
        <v>706.9</v>
      </c>
      <c r="AH23" s="37">
        <f t="shared" si="3"/>
        <v>899.6</v>
      </c>
      <c r="AI23" s="37">
        <f t="shared" si="3"/>
        <v>1285.2</v>
      </c>
      <c r="AJ23" s="97">
        <v>441.4</v>
      </c>
      <c r="AK23" s="33">
        <f t="shared" si="14"/>
        <v>9.8088888888888892</v>
      </c>
      <c r="AL23" s="97">
        <v>0</v>
      </c>
      <c r="AM23" s="33">
        <f t="shared" si="15"/>
        <v>0</v>
      </c>
      <c r="AN23" s="97">
        <v>484.4</v>
      </c>
      <c r="AO23" s="33">
        <f t="shared" si="16"/>
        <v>10.764444444444443</v>
      </c>
      <c r="AP23" s="37">
        <f t="shared" si="17"/>
        <v>726.6</v>
      </c>
      <c r="AQ23" s="97">
        <v>475.1</v>
      </c>
      <c r="AR23" s="33">
        <f t="shared" si="18"/>
        <v>10.557777777777778</v>
      </c>
      <c r="AS23" s="37">
        <f t="shared" si="19"/>
        <v>617.6</v>
      </c>
      <c r="AT23" s="37">
        <f t="shared" si="19"/>
        <v>688.8</v>
      </c>
      <c r="AU23" s="97">
        <v>530.70000000000005</v>
      </c>
      <c r="AV23" s="33">
        <f t="shared" si="20"/>
        <v>11.793333333333335</v>
      </c>
      <c r="AW23" s="34">
        <v>470.1</v>
      </c>
      <c r="AX23" s="98">
        <f t="shared" si="4"/>
        <v>10.446666666666667</v>
      </c>
      <c r="AY23" s="34">
        <v>479.1</v>
      </c>
      <c r="AZ23" s="33">
        <f t="shared" si="21"/>
        <v>10.646666666666667</v>
      </c>
      <c r="BA23" s="97">
        <v>700.1</v>
      </c>
      <c r="BB23" s="33">
        <f t="shared" si="36"/>
        <v>15.557777777777778</v>
      </c>
    </row>
    <row r="24" spans="1:54" s="41" customFormat="1" x14ac:dyDescent="0.2">
      <c r="A24" s="38" t="s">
        <v>15</v>
      </c>
      <c r="B24" s="39" t="s">
        <v>70</v>
      </c>
      <c r="C24" s="40">
        <v>15</v>
      </c>
      <c r="D24" s="34">
        <f t="shared" si="5"/>
        <v>959.7468149099999</v>
      </c>
      <c r="E24" s="33">
        <f>RCFs!C$43</f>
        <v>63.983120993999997</v>
      </c>
      <c r="F24" s="97">
        <f t="shared" si="0"/>
        <v>430.7</v>
      </c>
      <c r="G24" s="33">
        <f t="shared" si="6"/>
        <v>28.713333333333331</v>
      </c>
      <c r="H24" s="97">
        <v>447.6</v>
      </c>
      <c r="I24" s="33">
        <f t="shared" si="7"/>
        <v>29.84</v>
      </c>
      <c r="J24" s="37">
        <f t="shared" si="37"/>
        <v>492.4</v>
      </c>
      <c r="K24" s="37">
        <f t="shared" si="37"/>
        <v>613.20000000000005</v>
      </c>
      <c r="L24" s="37">
        <f t="shared" si="37"/>
        <v>658</v>
      </c>
      <c r="M24" s="37">
        <f t="shared" si="37"/>
        <v>725.1</v>
      </c>
      <c r="N24" s="37">
        <f t="shared" si="37"/>
        <v>895.2</v>
      </c>
      <c r="O24" s="37">
        <f t="shared" si="37"/>
        <v>962.3</v>
      </c>
      <c r="P24" s="37">
        <f t="shared" si="37"/>
        <v>1342.8</v>
      </c>
      <c r="Q24" s="97">
        <v>455.4</v>
      </c>
      <c r="R24" s="33">
        <f t="shared" si="8"/>
        <v>30.36</v>
      </c>
      <c r="S24" s="37">
        <f t="shared" si="9"/>
        <v>592</v>
      </c>
      <c r="T24" s="37">
        <f t="shared" si="9"/>
        <v>683.1</v>
      </c>
      <c r="U24" s="97">
        <v>474.7</v>
      </c>
      <c r="V24" s="33">
        <f t="shared" si="10"/>
        <v>31.646666666666665</v>
      </c>
      <c r="W24" s="97">
        <v>505.5</v>
      </c>
      <c r="X24" s="33">
        <f t="shared" si="11"/>
        <v>33.700000000000003</v>
      </c>
      <c r="Y24" s="37">
        <f t="shared" si="12"/>
        <v>556</v>
      </c>
      <c r="Z24" s="37">
        <f t="shared" si="12"/>
        <v>692.5</v>
      </c>
      <c r="AA24" s="37">
        <f t="shared" si="12"/>
        <v>818.9</v>
      </c>
      <c r="AB24" s="37">
        <f t="shared" si="12"/>
        <v>743</v>
      </c>
      <c r="AC24" s="37">
        <f t="shared" si="12"/>
        <v>1096.9000000000001</v>
      </c>
      <c r="AD24" s="37">
        <f t="shared" si="12"/>
        <v>1516.5</v>
      </c>
      <c r="AE24" s="34">
        <v>428.4</v>
      </c>
      <c r="AF24" s="33">
        <f t="shared" si="13"/>
        <v>28.56</v>
      </c>
      <c r="AG24" s="37">
        <f t="shared" si="3"/>
        <v>706.9</v>
      </c>
      <c r="AH24" s="37">
        <f t="shared" si="3"/>
        <v>899.6</v>
      </c>
      <c r="AI24" s="37">
        <f t="shared" si="3"/>
        <v>1285.2</v>
      </c>
      <c r="AJ24" s="97">
        <v>445.6</v>
      </c>
      <c r="AK24" s="33">
        <f t="shared" si="14"/>
        <v>29.706666666666667</v>
      </c>
      <c r="AL24" s="97">
        <v>0</v>
      </c>
      <c r="AM24" s="33">
        <f t="shared" si="15"/>
        <v>0</v>
      </c>
      <c r="AN24" s="97">
        <v>484.4</v>
      </c>
      <c r="AO24" s="33">
        <f t="shared" si="16"/>
        <v>32.293333333333329</v>
      </c>
      <c r="AP24" s="37">
        <f t="shared" si="17"/>
        <v>726.6</v>
      </c>
      <c r="AQ24" s="97">
        <v>475.1</v>
      </c>
      <c r="AR24" s="33">
        <f t="shared" si="18"/>
        <v>31.673333333333336</v>
      </c>
      <c r="AS24" s="37">
        <f t="shared" si="19"/>
        <v>617.6</v>
      </c>
      <c r="AT24" s="37">
        <f t="shared" si="19"/>
        <v>688.8</v>
      </c>
      <c r="AU24" s="97">
        <v>640.5</v>
      </c>
      <c r="AV24" s="33">
        <f t="shared" si="20"/>
        <v>42.7</v>
      </c>
      <c r="AW24" s="34">
        <v>470.1</v>
      </c>
      <c r="AX24" s="98">
        <f t="shared" si="4"/>
        <v>31.34</v>
      </c>
      <c r="AY24" s="34">
        <v>479.1</v>
      </c>
      <c r="AZ24" s="33">
        <f t="shared" si="21"/>
        <v>31.94</v>
      </c>
      <c r="BA24" s="97">
        <v>700.1</v>
      </c>
      <c r="BB24" s="33">
        <f t="shared" si="36"/>
        <v>46.673333333333332</v>
      </c>
    </row>
    <row r="25" spans="1:54" s="41" customFormat="1" x14ac:dyDescent="0.2">
      <c r="A25" s="38" t="s">
        <v>16</v>
      </c>
      <c r="B25" s="39" t="s">
        <v>70</v>
      </c>
      <c r="C25" s="40">
        <v>30</v>
      </c>
      <c r="D25" s="34">
        <f t="shared" si="5"/>
        <v>1919.4936298199998</v>
      </c>
      <c r="E25" s="33">
        <f>RCFs!C$43</f>
        <v>63.983120993999997</v>
      </c>
      <c r="F25" s="97">
        <f t="shared" si="0"/>
        <v>430.7</v>
      </c>
      <c r="G25" s="33">
        <f t="shared" si="6"/>
        <v>14.356666666666666</v>
      </c>
      <c r="H25" s="97">
        <v>447.6</v>
      </c>
      <c r="I25" s="33">
        <f t="shared" si="7"/>
        <v>14.92</v>
      </c>
      <c r="J25" s="37">
        <f t="shared" si="37"/>
        <v>492.4</v>
      </c>
      <c r="K25" s="37">
        <f t="shared" si="37"/>
        <v>613.20000000000005</v>
      </c>
      <c r="L25" s="37">
        <f t="shared" si="37"/>
        <v>658</v>
      </c>
      <c r="M25" s="37">
        <f t="shared" si="37"/>
        <v>725.1</v>
      </c>
      <c r="N25" s="37">
        <f t="shared" si="37"/>
        <v>895.2</v>
      </c>
      <c r="O25" s="37">
        <f t="shared" si="37"/>
        <v>962.3</v>
      </c>
      <c r="P25" s="37">
        <f t="shared" si="37"/>
        <v>1342.8</v>
      </c>
      <c r="Q25" s="97">
        <v>455.4</v>
      </c>
      <c r="R25" s="33">
        <f t="shared" si="8"/>
        <v>15.18</v>
      </c>
      <c r="S25" s="37">
        <f t="shared" si="9"/>
        <v>592</v>
      </c>
      <c r="T25" s="37">
        <f t="shared" si="9"/>
        <v>683.1</v>
      </c>
      <c r="U25" s="97">
        <v>474.7</v>
      </c>
      <c r="V25" s="33">
        <f t="shared" si="10"/>
        <v>15.823333333333332</v>
      </c>
      <c r="W25" s="97">
        <v>505.5</v>
      </c>
      <c r="X25" s="33">
        <f t="shared" si="11"/>
        <v>16.850000000000001</v>
      </c>
      <c r="Y25" s="37">
        <f t="shared" si="12"/>
        <v>556</v>
      </c>
      <c r="Z25" s="37">
        <f t="shared" si="12"/>
        <v>692.5</v>
      </c>
      <c r="AA25" s="37">
        <f t="shared" si="12"/>
        <v>818.9</v>
      </c>
      <c r="AB25" s="37">
        <f t="shared" si="12"/>
        <v>743</v>
      </c>
      <c r="AC25" s="37">
        <f t="shared" si="12"/>
        <v>1096.9000000000001</v>
      </c>
      <c r="AD25" s="37">
        <f t="shared" si="12"/>
        <v>1516.5</v>
      </c>
      <c r="AE25" s="34">
        <v>428.4</v>
      </c>
      <c r="AF25" s="33">
        <f t="shared" si="13"/>
        <v>14.28</v>
      </c>
      <c r="AG25" s="37">
        <f t="shared" si="3"/>
        <v>706.9</v>
      </c>
      <c r="AH25" s="37">
        <f t="shared" si="3"/>
        <v>899.6</v>
      </c>
      <c r="AI25" s="37">
        <f t="shared" si="3"/>
        <v>1285.2</v>
      </c>
      <c r="AJ25" s="97">
        <v>445.6</v>
      </c>
      <c r="AK25" s="33">
        <f t="shared" si="14"/>
        <v>14.853333333333333</v>
      </c>
      <c r="AL25" s="97">
        <v>0</v>
      </c>
      <c r="AM25" s="33">
        <f t="shared" si="15"/>
        <v>0</v>
      </c>
      <c r="AN25" s="97">
        <v>484.4</v>
      </c>
      <c r="AO25" s="33">
        <f t="shared" si="16"/>
        <v>16.146666666666665</v>
      </c>
      <c r="AP25" s="37">
        <f t="shared" si="17"/>
        <v>726.6</v>
      </c>
      <c r="AQ25" s="97">
        <v>475.1</v>
      </c>
      <c r="AR25" s="33">
        <f t="shared" si="18"/>
        <v>15.836666666666668</v>
      </c>
      <c r="AS25" s="37">
        <f t="shared" si="19"/>
        <v>617.6</v>
      </c>
      <c r="AT25" s="37">
        <f t="shared" si="19"/>
        <v>688.8</v>
      </c>
      <c r="AU25" s="97">
        <v>640.5</v>
      </c>
      <c r="AV25" s="33">
        <f t="shared" si="20"/>
        <v>21.35</v>
      </c>
      <c r="AW25" s="34">
        <v>470.1</v>
      </c>
      <c r="AX25" s="98">
        <f t="shared" si="4"/>
        <v>15.67</v>
      </c>
      <c r="AY25" s="34">
        <v>479.1</v>
      </c>
      <c r="AZ25" s="33">
        <f t="shared" si="21"/>
        <v>15.97</v>
      </c>
      <c r="BA25" s="97">
        <v>700.1</v>
      </c>
      <c r="BB25" s="33">
        <f t="shared" si="36"/>
        <v>23.336666666666666</v>
      </c>
    </row>
    <row r="26" spans="1:54" s="41" customFormat="1" x14ac:dyDescent="0.2">
      <c r="A26" s="38" t="s">
        <v>17</v>
      </c>
      <c r="B26" s="39" t="s">
        <v>70</v>
      </c>
      <c r="C26" s="40">
        <v>45</v>
      </c>
      <c r="D26" s="34">
        <f t="shared" si="5"/>
        <v>2879.24044473</v>
      </c>
      <c r="E26" s="33">
        <f>RCFs!C$43</f>
        <v>63.983120993999997</v>
      </c>
      <c r="F26" s="97">
        <f t="shared" si="0"/>
        <v>430.7</v>
      </c>
      <c r="G26" s="33">
        <f t="shared" si="6"/>
        <v>9.5711111111111116</v>
      </c>
      <c r="H26" s="97">
        <v>447.6</v>
      </c>
      <c r="I26" s="33">
        <f t="shared" si="7"/>
        <v>9.9466666666666672</v>
      </c>
      <c r="J26" s="37">
        <f t="shared" si="37"/>
        <v>492.4</v>
      </c>
      <c r="K26" s="37">
        <f t="shared" si="37"/>
        <v>613.20000000000005</v>
      </c>
      <c r="L26" s="37">
        <f t="shared" si="37"/>
        <v>658</v>
      </c>
      <c r="M26" s="37">
        <f t="shared" si="37"/>
        <v>725.1</v>
      </c>
      <c r="N26" s="37">
        <f t="shared" si="37"/>
        <v>895.2</v>
      </c>
      <c r="O26" s="37">
        <f t="shared" si="37"/>
        <v>962.3</v>
      </c>
      <c r="P26" s="37">
        <f t="shared" si="37"/>
        <v>1342.8</v>
      </c>
      <c r="Q26" s="97">
        <v>455.4</v>
      </c>
      <c r="R26" s="33">
        <f t="shared" si="8"/>
        <v>10.119999999999999</v>
      </c>
      <c r="S26" s="37">
        <f t="shared" si="9"/>
        <v>592</v>
      </c>
      <c r="T26" s="37">
        <f t="shared" si="9"/>
        <v>683.1</v>
      </c>
      <c r="U26" s="97">
        <v>474.7</v>
      </c>
      <c r="V26" s="33">
        <f t="shared" si="10"/>
        <v>10.548888888888889</v>
      </c>
      <c r="W26" s="97">
        <v>505.5</v>
      </c>
      <c r="X26" s="33">
        <f t="shared" si="11"/>
        <v>11.233333333333333</v>
      </c>
      <c r="Y26" s="37">
        <f t="shared" si="12"/>
        <v>556</v>
      </c>
      <c r="Z26" s="37">
        <f t="shared" si="12"/>
        <v>692.5</v>
      </c>
      <c r="AA26" s="37">
        <f t="shared" si="12"/>
        <v>818.9</v>
      </c>
      <c r="AB26" s="37">
        <f t="shared" si="12"/>
        <v>743</v>
      </c>
      <c r="AC26" s="37">
        <f t="shared" si="12"/>
        <v>1096.9000000000001</v>
      </c>
      <c r="AD26" s="37">
        <f t="shared" si="12"/>
        <v>1516.5</v>
      </c>
      <c r="AE26" s="34">
        <v>428.4</v>
      </c>
      <c r="AF26" s="33">
        <f t="shared" si="13"/>
        <v>9.52</v>
      </c>
      <c r="AG26" s="37">
        <f t="shared" si="3"/>
        <v>706.9</v>
      </c>
      <c r="AH26" s="37">
        <f t="shared" si="3"/>
        <v>899.6</v>
      </c>
      <c r="AI26" s="37">
        <f t="shared" si="3"/>
        <v>1285.2</v>
      </c>
      <c r="AJ26" s="97">
        <v>445.6</v>
      </c>
      <c r="AK26" s="33">
        <f t="shared" si="14"/>
        <v>9.9022222222222229</v>
      </c>
      <c r="AL26" s="97">
        <v>0</v>
      </c>
      <c r="AM26" s="33">
        <f t="shared" si="15"/>
        <v>0</v>
      </c>
      <c r="AN26" s="97">
        <v>484.4</v>
      </c>
      <c r="AO26" s="33">
        <f t="shared" si="16"/>
        <v>10.764444444444443</v>
      </c>
      <c r="AP26" s="37">
        <f t="shared" si="17"/>
        <v>726.6</v>
      </c>
      <c r="AQ26" s="97">
        <v>475.1</v>
      </c>
      <c r="AR26" s="33">
        <f t="shared" si="18"/>
        <v>10.557777777777778</v>
      </c>
      <c r="AS26" s="37">
        <f t="shared" si="19"/>
        <v>617.6</v>
      </c>
      <c r="AT26" s="37">
        <f t="shared" si="19"/>
        <v>688.8</v>
      </c>
      <c r="AU26" s="97">
        <v>640.5</v>
      </c>
      <c r="AV26" s="33">
        <f t="shared" si="20"/>
        <v>14.233333333333333</v>
      </c>
      <c r="AW26" s="34">
        <v>470.1</v>
      </c>
      <c r="AX26" s="98">
        <f t="shared" si="4"/>
        <v>10.446666666666667</v>
      </c>
      <c r="AY26" s="34">
        <v>479.1</v>
      </c>
      <c r="AZ26" s="33">
        <f t="shared" si="21"/>
        <v>10.646666666666667</v>
      </c>
      <c r="BA26" s="97">
        <v>700.1</v>
      </c>
      <c r="BB26" s="33">
        <f t="shared" si="36"/>
        <v>15.557777777777778</v>
      </c>
    </row>
    <row r="27" spans="1:54" s="194" customFormat="1" x14ac:dyDescent="0.2">
      <c r="A27" s="187" t="s">
        <v>175</v>
      </c>
      <c r="B27" s="188" t="s">
        <v>70</v>
      </c>
      <c r="C27" s="189">
        <v>63.6</v>
      </c>
      <c r="D27" s="190">
        <f t="shared" ref="D27" si="38">E27*C27</f>
        <v>4069.3264952183999</v>
      </c>
      <c r="E27" s="191">
        <f>RCFs!C$43</f>
        <v>63.983120993999997</v>
      </c>
      <c r="F27" s="97">
        <f t="shared" si="0"/>
        <v>0</v>
      </c>
      <c r="G27" s="191">
        <f t="shared" ref="G27" si="39">F27/C27</f>
        <v>0</v>
      </c>
      <c r="H27" s="192">
        <v>0</v>
      </c>
      <c r="I27" s="191">
        <f t="shared" ref="I27" si="40">H27/C27</f>
        <v>0</v>
      </c>
      <c r="J27" s="193">
        <f t="shared" si="37"/>
        <v>0</v>
      </c>
      <c r="K27" s="193">
        <f t="shared" si="37"/>
        <v>0</v>
      </c>
      <c r="L27" s="193">
        <f t="shared" si="37"/>
        <v>0</v>
      </c>
      <c r="M27" s="193">
        <f t="shared" si="37"/>
        <v>0</v>
      </c>
      <c r="N27" s="193">
        <f t="shared" si="37"/>
        <v>0</v>
      </c>
      <c r="O27" s="193">
        <f t="shared" si="37"/>
        <v>0</v>
      </c>
      <c r="P27" s="193">
        <f t="shared" si="37"/>
        <v>0</v>
      </c>
      <c r="Q27" s="192">
        <v>0</v>
      </c>
      <c r="R27" s="191">
        <f t="shared" ref="R27" si="41">Q27/$C27</f>
        <v>0</v>
      </c>
      <c r="S27" s="193">
        <f t="shared" si="9"/>
        <v>0</v>
      </c>
      <c r="T27" s="193">
        <f t="shared" si="9"/>
        <v>0</v>
      </c>
      <c r="U27" s="192">
        <v>0</v>
      </c>
      <c r="V27" s="191">
        <f t="shared" ref="V27" si="42">U27/$C27</f>
        <v>0</v>
      </c>
      <c r="W27" s="192">
        <v>0</v>
      </c>
      <c r="X27" s="191">
        <f t="shared" ref="X27" si="43">W27/$C27</f>
        <v>0</v>
      </c>
      <c r="Y27" s="193">
        <f t="shared" si="12"/>
        <v>0</v>
      </c>
      <c r="Z27" s="193">
        <f t="shared" si="12"/>
        <v>0</v>
      </c>
      <c r="AA27" s="193">
        <f t="shared" si="12"/>
        <v>0</v>
      </c>
      <c r="AB27" s="193">
        <f t="shared" si="12"/>
        <v>0</v>
      </c>
      <c r="AC27" s="193">
        <f t="shared" si="12"/>
        <v>0</v>
      </c>
      <c r="AD27" s="193">
        <f t="shared" si="12"/>
        <v>0</v>
      </c>
      <c r="AE27" s="190">
        <v>0</v>
      </c>
      <c r="AF27" s="191">
        <f t="shared" ref="AF27" si="44">AE27/$C27</f>
        <v>0</v>
      </c>
      <c r="AG27" s="193">
        <f t="shared" si="3"/>
        <v>0</v>
      </c>
      <c r="AH27" s="193">
        <f t="shared" si="3"/>
        <v>0</v>
      </c>
      <c r="AI27" s="193">
        <f t="shared" si="3"/>
        <v>0</v>
      </c>
      <c r="AJ27" s="192">
        <v>445.6</v>
      </c>
      <c r="AK27" s="191">
        <f t="shared" ref="AK27" si="45">AJ27/$C27</f>
        <v>7.0062893081761004</v>
      </c>
      <c r="AL27" s="192">
        <v>0</v>
      </c>
      <c r="AM27" s="191">
        <f t="shared" ref="AM27" si="46">AL27/$C27</f>
        <v>0</v>
      </c>
      <c r="AN27" s="97"/>
      <c r="AO27" s="33">
        <f t="shared" si="16"/>
        <v>0</v>
      </c>
      <c r="AP27" s="193">
        <f t="shared" si="17"/>
        <v>0</v>
      </c>
      <c r="AQ27" s="192">
        <v>0</v>
      </c>
      <c r="AR27" s="191">
        <f t="shared" ref="AR27" si="47">AQ27/$C27</f>
        <v>0</v>
      </c>
      <c r="AS27" s="193">
        <f t="shared" si="19"/>
        <v>0</v>
      </c>
      <c r="AT27" s="193">
        <f t="shared" si="19"/>
        <v>0</v>
      </c>
      <c r="AU27" s="192">
        <v>640.5</v>
      </c>
      <c r="AV27" s="191">
        <f t="shared" ref="AV27" si="48">AU27/$C27</f>
        <v>10.070754716981131</v>
      </c>
      <c r="AW27" s="34">
        <v>0</v>
      </c>
      <c r="AX27" s="262">
        <f t="shared" si="4"/>
        <v>0</v>
      </c>
      <c r="AY27" s="192">
        <v>0</v>
      </c>
      <c r="AZ27" s="191">
        <f t="shared" ref="AZ27" si="49">AY27/$C27</f>
        <v>0</v>
      </c>
      <c r="BA27" s="192">
        <v>0</v>
      </c>
      <c r="BB27" s="191">
        <f t="shared" ref="BB27" si="50">BA27/$C27</f>
        <v>0</v>
      </c>
    </row>
    <row r="28" spans="1:54" s="41" customFormat="1" x14ac:dyDescent="0.2">
      <c r="A28" s="38" t="s">
        <v>13</v>
      </c>
      <c r="B28" s="44" t="s">
        <v>14</v>
      </c>
      <c r="C28" s="40">
        <v>21.43</v>
      </c>
      <c r="D28" s="34">
        <f t="shared" si="5"/>
        <v>1371.1582829014199</v>
      </c>
      <c r="E28" s="33">
        <f>RCFs!C$43</f>
        <v>63.983120993999997</v>
      </c>
      <c r="F28" s="97">
        <f t="shared" si="0"/>
        <v>543.5</v>
      </c>
      <c r="G28" s="33">
        <f t="shared" si="6"/>
        <v>25.361642557162856</v>
      </c>
      <c r="H28" s="97">
        <v>564.70000000000005</v>
      </c>
      <c r="I28" s="33">
        <f t="shared" si="7"/>
        <v>26.350909939337381</v>
      </c>
      <c r="J28" s="37">
        <f t="shared" si="37"/>
        <v>621.20000000000005</v>
      </c>
      <c r="K28" s="37">
        <f t="shared" si="37"/>
        <v>773.6</v>
      </c>
      <c r="L28" s="37">
        <f t="shared" si="37"/>
        <v>830.1</v>
      </c>
      <c r="M28" s="37">
        <f t="shared" si="37"/>
        <v>914.8</v>
      </c>
      <c r="N28" s="37">
        <f t="shared" si="37"/>
        <v>1129.4000000000001</v>
      </c>
      <c r="O28" s="37">
        <f t="shared" si="37"/>
        <v>1214.0999999999999</v>
      </c>
      <c r="P28" s="37">
        <f t="shared" si="37"/>
        <v>1694.1</v>
      </c>
      <c r="Q28" s="97"/>
      <c r="R28" s="33">
        <f t="shared" si="8"/>
        <v>0</v>
      </c>
      <c r="S28" s="37">
        <f t="shared" si="9"/>
        <v>0</v>
      </c>
      <c r="T28" s="37">
        <f t="shared" si="9"/>
        <v>0</v>
      </c>
      <c r="U28" s="97">
        <v>531.29999999999995</v>
      </c>
      <c r="V28" s="33">
        <f t="shared" si="10"/>
        <v>24.792347176854875</v>
      </c>
      <c r="W28" s="97">
        <v>565.9</v>
      </c>
      <c r="X28" s="33">
        <f t="shared" si="11"/>
        <v>26.406906206252916</v>
      </c>
      <c r="Y28" s="37">
        <f>$W28</f>
        <v>565.9</v>
      </c>
      <c r="Z28" s="37">
        <f>$W28</f>
        <v>565.9</v>
      </c>
      <c r="AA28" s="37">
        <f t="shared" ref="AA28:AD28" si="51">$W28</f>
        <v>565.9</v>
      </c>
      <c r="AB28" s="37">
        <f t="shared" si="51"/>
        <v>565.9</v>
      </c>
      <c r="AC28" s="37">
        <f t="shared" si="51"/>
        <v>565.9</v>
      </c>
      <c r="AD28" s="37">
        <f t="shared" si="51"/>
        <v>565.9</v>
      </c>
      <c r="AE28" s="34">
        <v>539.9</v>
      </c>
      <c r="AF28" s="33">
        <f t="shared" si="13"/>
        <v>25.193653756416239</v>
      </c>
      <c r="AG28" s="37">
        <f t="shared" si="3"/>
        <v>890.8</v>
      </c>
      <c r="AH28" s="37">
        <f t="shared" si="3"/>
        <v>1133.8</v>
      </c>
      <c r="AI28" s="37">
        <f t="shared" si="3"/>
        <v>1619.7</v>
      </c>
      <c r="AJ28" s="97">
        <v>502.4</v>
      </c>
      <c r="AK28" s="33">
        <f t="shared" si="14"/>
        <v>23.443770415305647</v>
      </c>
      <c r="AL28" s="97">
        <v>0</v>
      </c>
      <c r="AM28" s="33">
        <f t="shared" si="15"/>
        <v>0</v>
      </c>
      <c r="AN28" s="97">
        <v>610.20000000000005</v>
      </c>
      <c r="AO28" s="33">
        <f t="shared" si="16"/>
        <v>28.474101726551567</v>
      </c>
      <c r="AP28" s="37">
        <f t="shared" si="17"/>
        <v>915.3</v>
      </c>
      <c r="AQ28" s="97">
        <v>598.70000000000005</v>
      </c>
      <c r="AR28" s="33">
        <f t="shared" si="18"/>
        <v>27.937470835277651</v>
      </c>
      <c r="AS28" s="37">
        <f t="shared" si="19"/>
        <v>778.3</v>
      </c>
      <c r="AT28" s="37">
        <f t="shared" si="19"/>
        <v>868.1</v>
      </c>
      <c r="AU28" s="97">
        <v>530.70000000000005</v>
      </c>
      <c r="AV28" s="33">
        <f t="shared" si="20"/>
        <v>24.764349043397111</v>
      </c>
      <c r="AW28" s="34">
        <v>592.6</v>
      </c>
      <c r="AX28" s="98">
        <f t="shared" si="4"/>
        <v>27.652823145123659</v>
      </c>
      <c r="AY28" s="34">
        <v>603.9</v>
      </c>
      <c r="AZ28" s="33">
        <f t="shared" si="21"/>
        <v>28.180121325244983</v>
      </c>
      <c r="BA28" s="136">
        <f>ROUNDDOWN($C28*BB28,1)</f>
        <v>577.1</v>
      </c>
      <c r="BB28" s="33">
        <f>RCFs!I$41</f>
        <v>26.931999999999999</v>
      </c>
    </row>
    <row r="29" spans="1:54" s="93" customFormat="1" ht="25.5" x14ac:dyDescent="0.2">
      <c r="A29" s="118" t="s">
        <v>84</v>
      </c>
      <c r="B29" s="119" t="s">
        <v>150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2">
        <v>0</v>
      </c>
      <c r="R29" s="92">
        <v>0</v>
      </c>
      <c r="S29" s="95">
        <f t="shared" ref="S29:T34" si="52">ROUNDDOWN($Q29*S$6,1)</f>
        <v>0</v>
      </c>
      <c r="T29" s="95">
        <f t="shared" si="52"/>
        <v>0</v>
      </c>
      <c r="U29" s="92">
        <v>0</v>
      </c>
      <c r="V29" s="92">
        <v>0</v>
      </c>
      <c r="W29" s="92">
        <v>0</v>
      </c>
      <c r="X29" s="92">
        <v>0</v>
      </c>
      <c r="Y29" s="96" t="s">
        <v>85</v>
      </c>
      <c r="Z29" s="95">
        <v>2021.3</v>
      </c>
      <c r="AA29" s="96" t="s">
        <v>85</v>
      </c>
      <c r="AB29" s="95">
        <v>2159.3000000000002</v>
      </c>
      <c r="AC29" s="95">
        <v>3187.3</v>
      </c>
      <c r="AD29" s="95">
        <v>3187.3</v>
      </c>
      <c r="AE29" s="92">
        <v>0</v>
      </c>
      <c r="AF29" s="92">
        <v>0</v>
      </c>
      <c r="AG29" s="95">
        <v>0</v>
      </c>
      <c r="AH29" s="95">
        <v>0</v>
      </c>
      <c r="AI29" s="95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5">
        <v>0</v>
      </c>
      <c r="AQ29" s="92">
        <v>0</v>
      </c>
      <c r="AR29" s="92">
        <v>0</v>
      </c>
      <c r="AS29" s="95">
        <v>0</v>
      </c>
      <c r="AT29" s="95">
        <v>0</v>
      </c>
      <c r="AU29" s="92">
        <v>0</v>
      </c>
      <c r="AV29" s="92">
        <v>0</v>
      </c>
      <c r="AW29" s="92"/>
      <c r="AX29" s="92"/>
      <c r="AY29" s="92">
        <v>0</v>
      </c>
      <c r="AZ29" s="120">
        <v>0</v>
      </c>
      <c r="BA29" s="92">
        <v>0</v>
      </c>
      <c r="BB29" s="92">
        <v>0</v>
      </c>
    </row>
    <row r="30" spans="1:54" s="93" customFormat="1" ht="25.5" x14ac:dyDescent="0.2">
      <c r="A30" s="118" t="s">
        <v>84</v>
      </c>
      <c r="B30" s="119" t="s">
        <v>151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2">
        <v>0</v>
      </c>
      <c r="R30" s="92">
        <v>0</v>
      </c>
      <c r="S30" s="95">
        <f t="shared" si="52"/>
        <v>0</v>
      </c>
      <c r="T30" s="95">
        <f t="shared" si="52"/>
        <v>0</v>
      </c>
      <c r="U30" s="92">
        <v>0</v>
      </c>
      <c r="V30" s="92">
        <v>0</v>
      </c>
      <c r="W30" s="92">
        <v>0</v>
      </c>
      <c r="X30" s="92">
        <v>0</v>
      </c>
      <c r="Y30" s="95">
        <v>1615.8</v>
      </c>
      <c r="Z30" s="95">
        <v>2021.3</v>
      </c>
      <c r="AA30" s="96" t="s">
        <v>85</v>
      </c>
      <c r="AB30" s="95">
        <v>2159.3000000000002</v>
      </c>
      <c r="AC30" s="95">
        <v>1468.9</v>
      </c>
      <c r="AD30" s="96">
        <v>1468.9</v>
      </c>
      <c r="AE30" s="92">
        <v>0</v>
      </c>
      <c r="AF30" s="92">
        <v>0</v>
      </c>
      <c r="AG30" s="95">
        <v>0</v>
      </c>
      <c r="AH30" s="95">
        <v>0</v>
      </c>
      <c r="AI30" s="95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5">
        <v>0</v>
      </c>
      <c r="AQ30" s="92">
        <v>0</v>
      </c>
      <c r="AR30" s="92">
        <v>0</v>
      </c>
      <c r="AS30" s="95">
        <v>0</v>
      </c>
      <c r="AT30" s="95">
        <v>0</v>
      </c>
      <c r="AU30" s="92">
        <v>0</v>
      </c>
      <c r="AV30" s="92">
        <v>0</v>
      </c>
      <c r="AW30" s="92"/>
      <c r="AX30" s="92"/>
      <c r="AY30" s="92">
        <v>0</v>
      </c>
      <c r="AZ30" s="120">
        <v>0</v>
      </c>
      <c r="BA30" s="92">
        <v>0</v>
      </c>
      <c r="BB30" s="92">
        <v>0</v>
      </c>
    </row>
    <row r="31" spans="1:54" s="93" customFormat="1" ht="25.5" x14ac:dyDescent="0.2">
      <c r="A31" s="118" t="s">
        <v>86</v>
      </c>
      <c r="B31" s="119" t="s">
        <v>152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2">
        <v>0</v>
      </c>
      <c r="R31" s="92">
        <v>0</v>
      </c>
      <c r="S31" s="95">
        <f t="shared" si="52"/>
        <v>0</v>
      </c>
      <c r="T31" s="95">
        <f t="shared" si="52"/>
        <v>0</v>
      </c>
      <c r="U31" s="92">
        <v>0</v>
      </c>
      <c r="V31" s="92">
        <v>0</v>
      </c>
      <c r="W31" s="92">
        <v>0</v>
      </c>
      <c r="X31" s="92">
        <v>0</v>
      </c>
      <c r="Y31" s="96" t="s">
        <v>85</v>
      </c>
      <c r="Z31" s="95">
        <v>777.6</v>
      </c>
      <c r="AA31" s="96" t="s">
        <v>85</v>
      </c>
      <c r="AB31" s="95">
        <v>834.6</v>
      </c>
      <c r="AC31" s="95">
        <v>1231.5999999999999</v>
      </c>
      <c r="AD31" s="95">
        <v>1231.5999999999999</v>
      </c>
      <c r="AE31" s="92">
        <v>0</v>
      </c>
      <c r="AF31" s="92">
        <v>0</v>
      </c>
      <c r="AG31" s="95">
        <v>0</v>
      </c>
      <c r="AH31" s="95">
        <v>0</v>
      </c>
      <c r="AI31" s="95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5">
        <v>0</v>
      </c>
      <c r="AQ31" s="92">
        <v>0</v>
      </c>
      <c r="AR31" s="92">
        <v>0</v>
      </c>
      <c r="AS31" s="95">
        <v>0</v>
      </c>
      <c r="AT31" s="95">
        <v>0</v>
      </c>
      <c r="AU31" s="92">
        <v>0</v>
      </c>
      <c r="AV31" s="92">
        <v>0</v>
      </c>
      <c r="AW31" s="92"/>
      <c r="AX31" s="92"/>
      <c r="AY31" s="92">
        <v>0</v>
      </c>
      <c r="AZ31" s="120">
        <v>0</v>
      </c>
      <c r="BA31" s="92">
        <v>0</v>
      </c>
      <c r="BB31" s="92">
        <v>0</v>
      </c>
    </row>
    <row r="32" spans="1:54" s="93" customFormat="1" ht="25.5" x14ac:dyDescent="0.2">
      <c r="A32" s="118" t="s">
        <v>86</v>
      </c>
      <c r="B32" s="119" t="s">
        <v>153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2">
        <v>0</v>
      </c>
      <c r="R32" s="92">
        <v>0</v>
      </c>
      <c r="S32" s="95">
        <f t="shared" si="52"/>
        <v>0</v>
      </c>
      <c r="T32" s="95">
        <f t="shared" si="52"/>
        <v>0</v>
      </c>
      <c r="U32" s="92">
        <v>0</v>
      </c>
      <c r="V32" s="92">
        <v>0</v>
      </c>
      <c r="W32" s="92">
        <v>0</v>
      </c>
      <c r="X32" s="92">
        <v>0</v>
      </c>
      <c r="Y32" s="95">
        <v>599.1</v>
      </c>
      <c r="Z32" s="95">
        <v>777.6</v>
      </c>
      <c r="AA32" s="96" t="s">
        <v>85</v>
      </c>
      <c r="AB32" s="95">
        <v>834.6</v>
      </c>
      <c r="AC32" s="95">
        <v>572.20000000000005</v>
      </c>
      <c r="AD32" s="96">
        <v>572.20000000000005</v>
      </c>
      <c r="AE32" s="92">
        <v>0</v>
      </c>
      <c r="AF32" s="92">
        <v>0</v>
      </c>
      <c r="AG32" s="95">
        <v>0</v>
      </c>
      <c r="AH32" s="95">
        <v>0</v>
      </c>
      <c r="AI32" s="95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5">
        <v>0</v>
      </c>
      <c r="AQ32" s="92">
        <v>0</v>
      </c>
      <c r="AR32" s="92">
        <v>0</v>
      </c>
      <c r="AS32" s="95">
        <v>0</v>
      </c>
      <c r="AT32" s="95">
        <v>0</v>
      </c>
      <c r="AU32" s="92">
        <v>0</v>
      </c>
      <c r="AV32" s="92">
        <v>0</v>
      </c>
      <c r="AW32" s="92"/>
      <c r="AX32" s="92"/>
      <c r="AY32" s="92">
        <v>0</v>
      </c>
      <c r="AZ32" s="120">
        <v>0</v>
      </c>
      <c r="BA32" s="92">
        <v>0</v>
      </c>
      <c r="BB32" s="92">
        <v>0</v>
      </c>
    </row>
    <row r="33" spans="1:54" s="127" customFormat="1" x14ac:dyDescent="0.2">
      <c r="A33" s="121" t="s">
        <v>154</v>
      </c>
      <c r="B33" s="122" t="s">
        <v>155</v>
      </c>
      <c r="C33" s="123">
        <v>2.06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3">
        <v>0</v>
      </c>
      <c r="R33" s="123">
        <f t="shared" ref="R33:R34" si="53">Q33/C33</f>
        <v>0</v>
      </c>
      <c r="S33" s="124">
        <f t="shared" si="52"/>
        <v>0</v>
      </c>
      <c r="T33" s="124">
        <f t="shared" si="52"/>
        <v>0</v>
      </c>
      <c r="U33" s="123">
        <v>0</v>
      </c>
      <c r="V33" s="123">
        <f t="shared" ref="V33:V34" si="54">U33/C33</f>
        <v>0</v>
      </c>
      <c r="W33" s="123">
        <v>0</v>
      </c>
      <c r="X33" s="123">
        <v>0</v>
      </c>
      <c r="Y33" s="124">
        <v>0</v>
      </c>
      <c r="Z33" s="124">
        <v>0</v>
      </c>
      <c r="AA33" s="125">
        <v>0</v>
      </c>
      <c r="AB33" s="124">
        <v>0</v>
      </c>
      <c r="AC33" s="124">
        <v>0</v>
      </c>
      <c r="AD33" s="124">
        <v>0</v>
      </c>
      <c r="AE33" s="123">
        <v>0</v>
      </c>
      <c r="AF33" s="123">
        <v>0</v>
      </c>
      <c r="AG33" s="124">
        <v>0</v>
      </c>
      <c r="AH33" s="124">
        <v>0</v>
      </c>
      <c r="AI33" s="124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4">
        <v>0</v>
      </c>
      <c r="AQ33" s="123">
        <v>0</v>
      </c>
      <c r="AR33" s="123">
        <v>0</v>
      </c>
      <c r="AS33" s="124">
        <v>0</v>
      </c>
      <c r="AT33" s="124">
        <v>0</v>
      </c>
      <c r="AU33" s="123">
        <v>0</v>
      </c>
      <c r="AV33" s="123">
        <v>0</v>
      </c>
      <c r="AW33" s="123"/>
      <c r="AX33" s="123"/>
      <c r="AY33" s="123"/>
      <c r="AZ33" s="126">
        <f>AY33/C33</f>
        <v>0</v>
      </c>
      <c r="BA33" s="123">
        <v>0</v>
      </c>
      <c r="BB33" s="123">
        <v>0</v>
      </c>
    </row>
    <row r="34" spans="1:54" s="127" customFormat="1" x14ac:dyDescent="0.2">
      <c r="A34" s="121" t="s">
        <v>156</v>
      </c>
      <c r="B34" s="122" t="s">
        <v>157</v>
      </c>
      <c r="C34" s="123">
        <v>3.05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3">
        <v>0</v>
      </c>
      <c r="R34" s="123">
        <f t="shared" si="53"/>
        <v>0</v>
      </c>
      <c r="S34" s="124">
        <f t="shared" si="52"/>
        <v>0</v>
      </c>
      <c r="T34" s="124">
        <f t="shared" si="52"/>
        <v>0</v>
      </c>
      <c r="U34" s="123">
        <v>0</v>
      </c>
      <c r="V34" s="123">
        <f t="shared" si="54"/>
        <v>0</v>
      </c>
      <c r="W34" s="123">
        <v>0</v>
      </c>
      <c r="X34" s="123">
        <v>0</v>
      </c>
      <c r="Y34" s="124">
        <v>0</v>
      </c>
      <c r="Z34" s="124">
        <v>0</v>
      </c>
      <c r="AA34" s="125">
        <v>0</v>
      </c>
      <c r="AB34" s="124">
        <v>0</v>
      </c>
      <c r="AC34" s="124">
        <v>0</v>
      </c>
      <c r="AD34" s="124">
        <v>0</v>
      </c>
      <c r="AE34" s="123">
        <v>0</v>
      </c>
      <c r="AF34" s="123">
        <v>0</v>
      </c>
      <c r="AG34" s="124">
        <v>0</v>
      </c>
      <c r="AH34" s="124">
        <v>0</v>
      </c>
      <c r="AI34" s="124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4">
        <v>0</v>
      </c>
      <c r="AQ34" s="123">
        <v>0</v>
      </c>
      <c r="AR34" s="123">
        <v>0</v>
      </c>
      <c r="AS34" s="124">
        <v>0</v>
      </c>
      <c r="AT34" s="124">
        <v>0</v>
      </c>
      <c r="AU34" s="123">
        <v>0</v>
      </c>
      <c r="AV34" s="123">
        <v>0</v>
      </c>
      <c r="AW34" s="123"/>
      <c r="AX34" s="123"/>
      <c r="AY34" s="123"/>
      <c r="AZ34" s="126">
        <f>AY34/C34</f>
        <v>0</v>
      </c>
      <c r="BA34" s="123">
        <v>0</v>
      </c>
      <c r="BB34" s="123">
        <v>0</v>
      </c>
    </row>
    <row r="35" spans="1:54" x14ac:dyDescent="0.2">
      <c r="A35" s="45"/>
      <c r="B35" s="46"/>
      <c r="C35" s="47"/>
      <c r="D35" s="48"/>
      <c r="E35" s="49"/>
      <c r="F35" s="48"/>
      <c r="G35" s="49"/>
      <c r="H35" s="48"/>
      <c r="I35" s="49"/>
      <c r="J35" s="51"/>
      <c r="K35" s="51"/>
      <c r="L35" s="51"/>
      <c r="M35" s="51"/>
      <c r="N35" s="51"/>
      <c r="O35" s="51"/>
      <c r="P35" s="51"/>
      <c r="Q35" s="48"/>
      <c r="R35" s="49"/>
      <c r="S35" s="51"/>
      <c r="T35" s="51"/>
      <c r="U35" s="48"/>
      <c r="V35" s="49"/>
      <c r="W35" s="48"/>
      <c r="X35" s="49"/>
      <c r="Y35" s="50"/>
      <c r="Z35" s="50"/>
      <c r="AA35" s="50"/>
      <c r="AB35" s="50"/>
      <c r="AC35" s="50"/>
      <c r="AD35" s="50"/>
      <c r="AE35" s="48"/>
      <c r="AF35" s="49"/>
      <c r="AG35" s="51"/>
      <c r="AH35" s="51"/>
      <c r="AI35" s="51"/>
      <c r="AJ35" s="48"/>
      <c r="AK35" s="49"/>
      <c r="AL35" s="48"/>
      <c r="AM35" s="49"/>
      <c r="AN35" s="48"/>
      <c r="AO35" s="49"/>
      <c r="AP35" s="51"/>
      <c r="AQ35" s="48"/>
      <c r="AR35" s="49"/>
      <c r="AS35" s="51"/>
      <c r="AT35" s="51"/>
      <c r="AU35" s="48"/>
      <c r="AV35" s="49"/>
      <c r="AW35" s="48"/>
      <c r="AX35" s="49"/>
      <c r="AY35" s="48"/>
      <c r="AZ35" s="49"/>
      <c r="BA35" s="48"/>
      <c r="BB35" s="49"/>
    </row>
    <row r="36" spans="1:54" x14ac:dyDescent="0.2">
      <c r="A36" s="137"/>
      <c r="B36" s="138" t="s">
        <v>22</v>
      </c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138"/>
      <c r="AP36" s="138"/>
      <c r="AQ36" s="139"/>
      <c r="AR36" s="138"/>
      <c r="AS36" s="138"/>
      <c r="AT36" s="138"/>
      <c r="AU36" s="139"/>
      <c r="AV36" s="138"/>
      <c r="AW36" s="139"/>
      <c r="AX36" s="138"/>
      <c r="AY36" s="139"/>
      <c r="AZ36" s="140"/>
      <c r="BA36" s="138"/>
      <c r="BB36" s="141"/>
    </row>
    <row r="37" spans="1:54" x14ac:dyDescent="0.2">
      <c r="A37" s="52"/>
      <c r="B37" s="53"/>
      <c r="C37" s="54"/>
      <c r="D37" s="26"/>
      <c r="E37" s="55"/>
      <c r="F37" s="26"/>
      <c r="G37" s="55"/>
      <c r="H37" s="26"/>
      <c r="I37" s="55"/>
      <c r="J37" s="37"/>
      <c r="K37" s="37"/>
      <c r="L37" s="37"/>
      <c r="M37" s="37"/>
      <c r="N37" s="37"/>
      <c r="O37" s="37"/>
      <c r="P37" s="37"/>
      <c r="Q37" s="26"/>
      <c r="R37" s="55"/>
      <c r="S37" s="37"/>
      <c r="T37" s="37"/>
      <c r="U37" s="26"/>
      <c r="V37" s="55"/>
      <c r="W37" s="26"/>
      <c r="X37" s="55"/>
      <c r="Y37" s="27"/>
      <c r="Z37" s="27"/>
      <c r="AA37" s="27"/>
      <c r="AB37" s="27"/>
      <c r="AC37" s="27"/>
      <c r="AD37" s="27"/>
      <c r="AE37" s="26"/>
      <c r="AF37" s="55"/>
      <c r="AG37" s="56"/>
      <c r="AH37" s="56"/>
      <c r="AI37" s="56"/>
      <c r="AJ37" s="26"/>
      <c r="AK37" s="55"/>
      <c r="AL37" s="26"/>
      <c r="AM37" s="55"/>
      <c r="AN37" s="26"/>
      <c r="AO37" s="55"/>
      <c r="AP37" s="56"/>
      <c r="AQ37" s="26"/>
      <c r="AR37" s="55"/>
      <c r="AS37" s="56"/>
      <c r="AT37" s="56"/>
      <c r="AU37" s="26"/>
      <c r="AV37" s="55"/>
      <c r="AW37" s="26"/>
      <c r="AX37" s="55"/>
      <c r="AY37" s="26"/>
      <c r="AZ37" s="55"/>
      <c r="BA37" s="26"/>
      <c r="BB37" s="55"/>
    </row>
    <row r="38" spans="1:54" s="41" customFormat="1" x14ac:dyDescent="0.2">
      <c r="A38" s="57" t="s">
        <v>44</v>
      </c>
      <c r="B38" s="39" t="s">
        <v>67</v>
      </c>
      <c r="C38" s="34">
        <v>0</v>
      </c>
      <c r="D38" s="34">
        <v>0</v>
      </c>
      <c r="E38" s="33">
        <v>0</v>
      </c>
      <c r="F38" s="34">
        <v>0</v>
      </c>
      <c r="G38" s="33">
        <v>0</v>
      </c>
      <c r="H38" s="34">
        <v>0</v>
      </c>
      <c r="I38" s="33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4">
        <v>0</v>
      </c>
      <c r="R38" s="33">
        <v>0</v>
      </c>
      <c r="S38" s="37">
        <v>0</v>
      </c>
      <c r="T38" s="37">
        <v>0</v>
      </c>
      <c r="U38" s="34">
        <v>0</v>
      </c>
      <c r="V38" s="33">
        <v>0</v>
      </c>
      <c r="W38" s="34">
        <v>0</v>
      </c>
      <c r="X38" s="33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4">
        <v>0</v>
      </c>
      <c r="AF38" s="33">
        <v>0</v>
      </c>
      <c r="AG38" s="37">
        <v>0</v>
      </c>
      <c r="AH38" s="37">
        <v>0</v>
      </c>
      <c r="AI38" s="37">
        <v>0</v>
      </c>
      <c r="AJ38" s="34">
        <v>0</v>
      </c>
      <c r="AK38" s="33">
        <v>0</v>
      </c>
      <c r="AL38" s="34">
        <v>0</v>
      </c>
      <c r="AM38" s="33">
        <v>0</v>
      </c>
      <c r="AN38" s="34">
        <v>0</v>
      </c>
      <c r="AO38" s="33">
        <v>0</v>
      </c>
      <c r="AP38" s="37">
        <v>0</v>
      </c>
      <c r="AQ38" s="34">
        <v>0</v>
      </c>
      <c r="AR38" s="33">
        <v>0</v>
      </c>
      <c r="AS38" s="37">
        <v>0</v>
      </c>
      <c r="AT38" s="37">
        <v>0</v>
      </c>
      <c r="AU38" s="34">
        <v>0</v>
      </c>
      <c r="AV38" s="33">
        <v>0</v>
      </c>
      <c r="AW38" s="34"/>
      <c r="AX38" s="33"/>
      <c r="AY38" s="34">
        <v>0</v>
      </c>
      <c r="AZ38" s="33">
        <v>0</v>
      </c>
      <c r="BA38" s="34">
        <f>ROUNDDOWN($C38*BB38,1)</f>
        <v>0</v>
      </c>
      <c r="BB38" s="33">
        <v>0</v>
      </c>
    </row>
    <row r="39" spans="1:54" s="41" customFormat="1" x14ac:dyDescent="0.2">
      <c r="A39" s="57" t="s">
        <v>35</v>
      </c>
      <c r="B39" s="39" t="s">
        <v>68</v>
      </c>
      <c r="C39" s="40">
        <v>10</v>
      </c>
      <c r="D39" s="34">
        <f t="shared" ref="D39" si="55">ROUND(E39*C39,1)</f>
        <v>639.79999999999995</v>
      </c>
      <c r="E39" s="33">
        <f>RCFs!C$43</f>
        <v>63.983120993999997</v>
      </c>
      <c r="F39" s="34">
        <f>ROUNDDOWN(C39*G39,1)</f>
        <v>167</v>
      </c>
      <c r="G39" s="98">
        <f>RCFs!C$5</f>
        <v>16.707999999999998</v>
      </c>
      <c r="H39" s="34">
        <f>ROUNDDOWN(I39*C39,1)</f>
        <v>167</v>
      </c>
      <c r="I39" s="98">
        <f>G39</f>
        <v>16.707999999999998</v>
      </c>
      <c r="J39" s="37">
        <f t="shared" ref="J39:P53" si="56">ROUND($C39*$I39*J$6,1)</f>
        <v>183.8</v>
      </c>
      <c r="K39" s="37">
        <f t="shared" si="56"/>
        <v>228.9</v>
      </c>
      <c r="L39" s="37">
        <f t="shared" si="56"/>
        <v>245.6</v>
      </c>
      <c r="M39" s="37">
        <f t="shared" si="56"/>
        <v>270.7</v>
      </c>
      <c r="N39" s="37">
        <f t="shared" si="56"/>
        <v>334.2</v>
      </c>
      <c r="O39" s="37">
        <f t="shared" si="56"/>
        <v>359.2</v>
      </c>
      <c r="P39" s="37">
        <f t="shared" si="56"/>
        <v>501.2</v>
      </c>
      <c r="Q39" s="34">
        <f>ROUNDDOWN(C39*R39,1)</f>
        <v>164.5</v>
      </c>
      <c r="R39" s="98">
        <f>RCFs!C$7</f>
        <v>16.45</v>
      </c>
      <c r="S39" s="37">
        <f>ROUNDDOWN($Q39*S$6,1)</f>
        <v>213.8</v>
      </c>
      <c r="T39" s="37">
        <f>ROUNDDOWN($Q39*T$6,1)</f>
        <v>246.7</v>
      </c>
      <c r="U39" s="34">
        <f>ROUNDDOWN(C39*V39,1)</f>
        <v>161.9</v>
      </c>
      <c r="V39" s="98">
        <f>RCFs!C$9</f>
        <v>16.192</v>
      </c>
      <c r="W39" s="34">
        <f t="shared" ref="W39" si="57">ROUND(X39*C39,1)</f>
        <v>161.9</v>
      </c>
      <c r="X39" s="98">
        <f>V39</f>
        <v>16.192</v>
      </c>
      <c r="Y39" s="37">
        <f t="shared" ref="Y39:AD54" si="58">ROUNDDOWN($W39*Y$6,1)</f>
        <v>178</v>
      </c>
      <c r="Z39" s="37">
        <f t="shared" si="58"/>
        <v>221.8</v>
      </c>
      <c r="AA39" s="37">
        <f t="shared" si="58"/>
        <v>262.2</v>
      </c>
      <c r="AB39" s="37">
        <f t="shared" si="58"/>
        <v>237.9</v>
      </c>
      <c r="AC39" s="37">
        <f t="shared" si="58"/>
        <v>351.3</v>
      </c>
      <c r="AD39" s="37">
        <f t="shared" si="58"/>
        <v>485.7</v>
      </c>
      <c r="AE39" s="34">
        <f t="shared" ref="AE39" si="59">ROUND(AF39*C39,1)</f>
        <v>155.19999999999999</v>
      </c>
      <c r="AF39" s="98">
        <f>RCFs!C$13</f>
        <v>15.52</v>
      </c>
      <c r="AG39" s="37">
        <f t="shared" ref="AG39:AI57" si="60">ROUND($AE39*AG$6,1)</f>
        <v>256.10000000000002</v>
      </c>
      <c r="AH39" s="37">
        <f t="shared" si="60"/>
        <v>325.89999999999998</v>
      </c>
      <c r="AI39" s="37">
        <f t="shared" si="60"/>
        <v>465.6</v>
      </c>
      <c r="AJ39" s="34">
        <f>ROUNDDOWN(C39*AK39,1)</f>
        <v>0</v>
      </c>
      <c r="AK39" s="98">
        <f>RCFs!C$31</f>
        <v>0</v>
      </c>
      <c r="AL39" s="34">
        <f t="shared" ref="AL39" si="61">ROUND(AM39*C39,1)</f>
        <v>0</v>
      </c>
      <c r="AM39" s="98">
        <v>0</v>
      </c>
      <c r="AN39" s="34">
        <f>ROUNDDOWN(C39*AO39,1)</f>
        <v>176.3</v>
      </c>
      <c r="AO39" s="98">
        <f>RCFs!C$33</f>
        <v>17.632999999999999</v>
      </c>
      <c r="AP39" s="37">
        <f>ROUNDDOWN(AN39*AP$6,1)</f>
        <v>264.39999999999998</v>
      </c>
      <c r="AQ39" s="34">
        <f>ROUNDDOWN(C39*AR39,1)</f>
        <v>174.3</v>
      </c>
      <c r="AR39" s="98">
        <f>RCFs!C$35</f>
        <v>17.43</v>
      </c>
      <c r="AS39" s="37">
        <f>ROUNDDOWN($AQ39*AS$6,1)</f>
        <v>226.5</v>
      </c>
      <c r="AT39" s="37">
        <f>ROUNDDOWN($AQ39*AT$6,1)</f>
        <v>252.7</v>
      </c>
      <c r="AU39" s="34">
        <f>ROUNDDOWN(C39*AV39,1)</f>
        <v>170.9</v>
      </c>
      <c r="AV39" s="98">
        <f>RCFs!C$37</f>
        <v>17.09</v>
      </c>
      <c r="AW39" s="97">
        <f>ROUNDDOWN(AX39*C39,1)</f>
        <v>171.2</v>
      </c>
      <c r="AX39" s="98">
        <f>RCFs!C$64</f>
        <v>17.125999999999998</v>
      </c>
      <c r="AY39" s="34">
        <f>ROUNDDOWN(C39*AZ39,1)</f>
        <v>174.5</v>
      </c>
      <c r="AZ39" s="98">
        <f>RCFs!C$39</f>
        <v>17.45</v>
      </c>
      <c r="BA39" s="34">
        <f t="shared" ref="BA39:BA57" si="62">ROUNDDOWN($C39*BB39,1)</f>
        <v>166.7</v>
      </c>
      <c r="BB39" s="98">
        <f>RCFs!C$41</f>
        <v>16.678999999999998</v>
      </c>
    </row>
    <row r="40" spans="1:54" s="41" customFormat="1" x14ac:dyDescent="0.2">
      <c r="A40" s="57" t="s">
        <v>43</v>
      </c>
      <c r="B40" s="39" t="s">
        <v>49</v>
      </c>
      <c r="C40" s="40">
        <v>8</v>
      </c>
      <c r="D40" s="34">
        <f t="shared" ref="D40:D57" si="63">ROUND(E40*C40,1)</f>
        <v>511.9</v>
      </c>
      <c r="E40" s="33">
        <f>RCFs!C$43</f>
        <v>63.983120993999997</v>
      </c>
      <c r="F40" s="34">
        <f t="shared" ref="F40:F57" si="64">ROUNDDOWN(C40*G40,1)</f>
        <v>133.6</v>
      </c>
      <c r="G40" s="98">
        <f>RCFs!C$5</f>
        <v>16.707999999999998</v>
      </c>
      <c r="H40" s="34">
        <f t="shared" ref="H40:H57" si="65">ROUNDDOWN(I40*C40,1)</f>
        <v>133.6</v>
      </c>
      <c r="I40" s="98">
        <f t="shared" ref="I40:I57" si="66">G40</f>
        <v>16.707999999999998</v>
      </c>
      <c r="J40" s="37">
        <f t="shared" si="56"/>
        <v>147</v>
      </c>
      <c r="K40" s="37">
        <f t="shared" si="56"/>
        <v>183.1</v>
      </c>
      <c r="L40" s="37">
        <f t="shared" si="56"/>
        <v>196.5</v>
      </c>
      <c r="M40" s="37">
        <f t="shared" si="56"/>
        <v>216.5</v>
      </c>
      <c r="N40" s="37">
        <f t="shared" si="56"/>
        <v>267.3</v>
      </c>
      <c r="O40" s="37">
        <f t="shared" si="56"/>
        <v>287.39999999999998</v>
      </c>
      <c r="P40" s="37">
        <f t="shared" si="56"/>
        <v>401</v>
      </c>
      <c r="Q40" s="34">
        <f t="shared" ref="Q40:Q57" si="67">ROUNDDOWN(C40*R40,1)</f>
        <v>131.6</v>
      </c>
      <c r="R40" s="98">
        <f>RCFs!C$7</f>
        <v>16.45</v>
      </c>
      <c r="S40" s="37">
        <f t="shared" ref="S40:T57" si="68">ROUNDDOWN($Q40*S$6,1)</f>
        <v>171</v>
      </c>
      <c r="T40" s="37">
        <f t="shared" si="68"/>
        <v>197.4</v>
      </c>
      <c r="U40" s="34">
        <f t="shared" ref="U40:U57" si="69">ROUNDDOWN(C40*V40,1)</f>
        <v>129.5</v>
      </c>
      <c r="V40" s="98">
        <f>RCFs!C$9</f>
        <v>16.192</v>
      </c>
      <c r="W40" s="34">
        <f t="shared" ref="W40:W57" si="70">ROUND(X40*C40,1)</f>
        <v>129.5</v>
      </c>
      <c r="X40" s="98">
        <f t="shared" ref="X40:X57" si="71">V40</f>
        <v>16.192</v>
      </c>
      <c r="Y40" s="37">
        <f t="shared" si="58"/>
        <v>142.4</v>
      </c>
      <c r="Z40" s="37">
        <f t="shared" si="58"/>
        <v>177.4</v>
      </c>
      <c r="AA40" s="37">
        <f t="shared" si="58"/>
        <v>209.7</v>
      </c>
      <c r="AB40" s="37">
        <f t="shared" si="58"/>
        <v>190.3</v>
      </c>
      <c r="AC40" s="37">
        <f t="shared" si="58"/>
        <v>281</v>
      </c>
      <c r="AD40" s="37">
        <f t="shared" si="58"/>
        <v>388.5</v>
      </c>
      <c r="AE40" s="34">
        <f t="shared" ref="AE40:AE57" si="72">ROUND(AF40*C40,1)</f>
        <v>124.2</v>
      </c>
      <c r="AF40" s="98">
        <f>RCFs!C$13</f>
        <v>15.52</v>
      </c>
      <c r="AG40" s="37">
        <f t="shared" si="60"/>
        <v>204.9</v>
      </c>
      <c r="AH40" s="37">
        <f t="shared" si="60"/>
        <v>260.8</v>
      </c>
      <c r="AI40" s="37">
        <f t="shared" si="60"/>
        <v>372.6</v>
      </c>
      <c r="AJ40" s="34">
        <f t="shared" ref="AJ40:AJ57" si="73">ROUNDDOWN(C40*AK40,1)</f>
        <v>0</v>
      </c>
      <c r="AK40" s="98">
        <f>RCFs!C$31</f>
        <v>0</v>
      </c>
      <c r="AL40" s="34">
        <f t="shared" ref="AL40:AL57" si="74">ROUND(AM40*C40,1)</f>
        <v>0</v>
      </c>
      <c r="AM40" s="98">
        <v>0</v>
      </c>
      <c r="AN40" s="34">
        <f t="shared" ref="AN40:AN57" si="75">ROUNDDOWN(C40*AO40,1)</f>
        <v>141</v>
      </c>
      <c r="AO40" s="98">
        <f>RCFs!C$33</f>
        <v>17.632999999999999</v>
      </c>
      <c r="AP40" s="37">
        <f t="shared" ref="AP40:AP57" si="76">ROUNDDOWN(AN40*AP$6,1)</f>
        <v>211.5</v>
      </c>
      <c r="AQ40" s="34">
        <f t="shared" ref="AQ40:AQ57" si="77">ROUNDDOWN(C40*AR40,1)</f>
        <v>139.4</v>
      </c>
      <c r="AR40" s="98">
        <f>RCFs!C$35</f>
        <v>17.43</v>
      </c>
      <c r="AS40" s="37">
        <f t="shared" ref="AS40:AT57" si="78">ROUNDDOWN($AQ40*AS$6,1)</f>
        <v>181.2</v>
      </c>
      <c r="AT40" s="37">
        <f t="shared" si="78"/>
        <v>202.1</v>
      </c>
      <c r="AU40" s="34">
        <f t="shared" ref="AU40:AU57" si="79">ROUNDDOWN(C40*AV40,1)</f>
        <v>136.69999999999999</v>
      </c>
      <c r="AV40" s="98">
        <f>RCFs!C$37</f>
        <v>17.09</v>
      </c>
      <c r="AW40" s="97">
        <f t="shared" ref="AW40:AW57" si="80">ROUNDDOWN(AX40*C40,1)</f>
        <v>137</v>
      </c>
      <c r="AX40" s="98">
        <f>RCFs!C$64</f>
        <v>17.125999999999998</v>
      </c>
      <c r="AY40" s="34">
        <f t="shared" ref="AY40:AY57" si="81">ROUNDDOWN(C40*AZ40,1)</f>
        <v>139.6</v>
      </c>
      <c r="AZ40" s="98">
        <f>RCFs!C$39</f>
        <v>17.45</v>
      </c>
      <c r="BA40" s="34">
        <f t="shared" si="62"/>
        <v>133.4</v>
      </c>
      <c r="BB40" s="98">
        <f>RCFs!C$41</f>
        <v>16.678999999999998</v>
      </c>
    </row>
    <row r="41" spans="1:54" s="41" customFormat="1" x14ac:dyDescent="0.2">
      <c r="A41" s="57" t="s">
        <v>41</v>
      </c>
      <c r="B41" s="39" t="s">
        <v>50</v>
      </c>
      <c r="C41" s="40">
        <v>20</v>
      </c>
      <c r="D41" s="34">
        <f t="shared" si="63"/>
        <v>1279.7</v>
      </c>
      <c r="E41" s="33">
        <f>RCFs!C$43</f>
        <v>63.983120993999997</v>
      </c>
      <c r="F41" s="34">
        <f t="shared" si="64"/>
        <v>334.1</v>
      </c>
      <c r="G41" s="98">
        <f>RCFs!C$5</f>
        <v>16.707999999999998</v>
      </c>
      <c r="H41" s="34">
        <f t="shared" si="65"/>
        <v>334.1</v>
      </c>
      <c r="I41" s="98">
        <f t="shared" si="66"/>
        <v>16.707999999999998</v>
      </c>
      <c r="J41" s="37">
        <f t="shared" si="56"/>
        <v>367.6</v>
      </c>
      <c r="K41" s="37">
        <f t="shared" si="56"/>
        <v>457.8</v>
      </c>
      <c r="L41" s="37">
        <f t="shared" si="56"/>
        <v>491.2</v>
      </c>
      <c r="M41" s="37">
        <f t="shared" si="56"/>
        <v>541.29999999999995</v>
      </c>
      <c r="N41" s="37">
        <f t="shared" si="56"/>
        <v>668.3</v>
      </c>
      <c r="O41" s="37">
        <f t="shared" si="56"/>
        <v>718.4</v>
      </c>
      <c r="P41" s="37">
        <f t="shared" si="56"/>
        <v>1002.5</v>
      </c>
      <c r="Q41" s="34">
        <f t="shared" si="67"/>
        <v>329</v>
      </c>
      <c r="R41" s="98">
        <f>RCFs!C$7</f>
        <v>16.45</v>
      </c>
      <c r="S41" s="37">
        <f t="shared" si="68"/>
        <v>427.7</v>
      </c>
      <c r="T41" s="37">
        <f t="shared" si="68"/>
        <v>493.5</v>
      </c>
      <c r="U41" s="34">
        <f t="shared" si="69"/>
        <v>323.8</v>
      </c>
      <c r="V41" s="98">
        <f>RCFs!C$9</f>
        <v>16.192</v>
      </c>
      <c r="W41" s="34">
        <f t="shared" si="70"/>
        <v>323.8</v>
      </c>
      <c r="X41" s="98">
        <f t="shared" si="71"/>
        <v>16.192</v>
      </c>
      <c r="Y41" s="37">
        <f t="shared" si="58"/>
        <v>356.1</v>
      </c>
      <c r="Z41" s="37">
        <f t="shared" si="58"/>
        <v>443.6</v>
      </c>
      <c r="AA41" s="37">
        <f t="shared" si="58"/>
        <v>524.5</v>
      </c>
      <c r="AB41" s="37">
        <f t="shared" si="58"/>
        <v>475.9</v>
      </c>
      <c r="AC41" s="37">
        <f t="shared" si="58"/>
        <v>702.6</v>
      </c>
      <c r="AD41" s="37">
        <f t="shared" si="58"/>
        <v>971.4</v>
      </c>
      <c r="AE41" s="34">
        <f t="shared" si="72"/>
        <v>310.39999999999998</v>
      </c>
      <c r="AF41" s="98">
        <f>RCFs!C$13</f>
        <v>15.52</v>
      </c>
      <c r="AG41" s="37">
        <f t="shared" si="60"/>
        <v>512.20000000000005</v>
      </c>
      <c r="AH41" s="37">
        <f t="shared" si="60"/>
        <v>651.79999999999995</v>
      </c>
      <c r="AI41" s="37">
        <f t="shared" si="60"/>
        <v>931.2</v>
      </c>
      <c r="AJ41" s="34">
        <f t="shared" si="73"/>
        <v>0</v>
      </c>
      <c r="AK41" s="98">
        <f>RCFs!C$31</f>
        <v>0</v>
      </c>
      <c r="AL41" s="34">
        <f t="shared" si="74"/>
        <v>0</v>
      </c>
      <c r="AM41" s="98">
        <v>0</v>
      </c>
      <c r="AN41" s="34">
        <f t="shared" si="75"/>
        <v>352.6</v>
      </c>
      <c r="AO41" s="98">
        <f>RCFs!C$33</f>
        <v>17.632999999999999</v>
      </c>
      <c r="AP41" s="37">
        <f t="shared" si="76"/>
        <v>528.9</v>
      </c>
      <c r="AQ41" s="34">
        <f t="shared" si="77"/>
        <v>348.6</v>
      </c>
      <c r="AR41" s="98">
        <f>RCFs!C$35</f>
        <v>17.43</v>
      </c>
      <c r="AS41" s="37">
        <f t="shared" si="78"/>
        <v>453.1</v>
      </c>
      <c r="AT41" s="37">
        <f t="shared" si="78"/>
        <v>505.4</v>
      </c>
      <c r="AU41" s="34">
        <f t="shared" si="79"/>
        <v>341.8</v>
      </c>
      <c r="AV41" s="98">
        <f>RCFs!C$37</f>
        <v>17.09</v>
      </c>
      <c r="AW41" s="97">
        <f t="shared" si="80"/>
        <v>342.5</v>
      </c>
      <c r="AX41" s="98">
        <f>RCFs!C$64</f>
        <v>17.125999999999998</v>
      </c>
      <c r="AY41" s="34">
        <f t="shared" si="81"/>
        <v>349</v>
      </c>
      <c r="AZ41" s="98">
        <f>RCFs!C$39</f>
        <v>17.45</v>
      </c>
      <c r="BA41" s="34">
        <f t="shared" si="62"/>
        <v>333.5</v>
      </c>
      <c r="BB41" s="98">
        <f>RCFs!C$41</f>
        <v>16.678999999999998</v>
      </c>
    </row>
    <row r="42" spans="1:54" s="41" customFormat="1" x14ac:dyDescent="0.2">
      <c r="A42" s="57" t="s">
        <v>36</v>
      </c>
      <c r="B42" s="39" t="s">
        <v>51</v>
      </c>
      <c r="C42" s="40">
        <v>20</v>
      </c>
      <c r="D42" s="34">
        <f t="shared" si="63"/>
        <v>1279.7</v>
      </c>
      <c r="E42" s="33">
        <f>RCFs!C$43</f>
        <v>63.983120993999997</v>
      </c>
      <c r="F42" s="34">
        <f t="shared" si="64"/>
        <v>334.1</v>
      </c>
      <c r="G42" s="98">
        <f>RCFs!C$5</f>
        <v>16.707999999999998</v>
      </c>
      <c r="H42" s="34">
        <f t="shared" si="65"/>
        <v>334.1</v>
      </c>
      <c r="I42" s="98">
        <f t="shared" si="66"/>
        <v>16.707999999999998</v>
      </c>
      <c r="J42" s="37">
        <f t="shared" si="56"/>
        <v>367.6</v>
      </c>
      <c r="K42" s="37">
        <f t="shared" si="56"/>
        <v>457.8</v>
      </c>
      <c r="L42" s="37">
        <f t="shared" si="56"/>
        <v>491.2</v>
      </c>
      <c r="M42" s="37">
        <f t="shared" si="56"/>
        <v>541.29999999999995</v>
      </c>
      <c r="N42" s="37">
        <f t="shared" si="56"/>
        <v>668.3</v>
      </c>
      <c r="O42" s="37">
        <f t="shared" si="56"/>
        <v>718.4</v>
      </c>
      <c r="P42" s="37">
        <f t="shared" si="56"/>
        <v>1002.5</v>
      </c>
      <c r="Q42" s="34">
        <f t="shared" si="67"/>
        <v>329</v>
      </c>
      <c r="R42" s="98">
        <f>RCFs!C$7</f>
        <v>16.45</v>
      </c>
      <c r="S42" s="37">
        <f t="shared" si="68"/>
        <v>427.7</v>
      </c>
      <c r="T42" s="37">
        <f t="shared" si="68"/>
        <v>493.5</v>
      </c>
      <c r="U42" s="34">
        <f t="shared" si="69"/>
        <v>323.8</v>
      </c>
      <c r="V42" s="98">
        <f>RCFs!C$9</f>
        <v>16.192</v>
      </c>
      <c r="W42" s="34">
        <f t="shared" si="70"/>
        <v>323.8</v>
      </c>
      <c r="X42" s="98">
        <f t="shared" si="71"/>
        <v>16.192</v>
      </c>
      <c r="Y42" s="37">
        <f t="shared" si="58"/>
        <v>356.1</v>
      </c>
      <c r="Z42" s="37">
        <f t="shared" si="58"/>
        <v>443.6</v>
      </c>
      <c r="AA42" s="37">
        <f t="shared" si="58"/>
        <v>524.5</v>
      </c>
      <c r="AB42" s="37">
        <f t="shared" si="58"/>
        <v>475.9</v>
      </c>
      <c r="AC42" s="37">
        <f t="shared" si="58"/>
        <v>702.6</v>
      </c>
      <c r="AD42" s="37">
        <f t="shared" si="58"/>
        <v>971.4</v>
      </c>
      <c r="AE42" s="34">
        <f t="shared" si="72"/>
        <v>310.39999999999998</v>
      </c>
      <c r="AF42" s="98">
        <f>RCFs!C$13</f>
        <v>15.52</v>
      </c>
      <c r="AG42" s="37">
        <f t="shared" si="60"/>
        <v>512.20000000000005</v>
      </c>
      <c r="AH42" s="37">
        <f t="shared" si="60"/>
        <v>651.79999999999995</v>
      </c>
      <c r="AI42" s="37">
        <f t="shared" si="60"/>
        <v>931.2</v>
      </c>
      <c r="AJ42" s="34">
        <f t="shared" si="73"/>
        <v>0</v>
      </c>
      <c r="AK42" s="98">
        <f>RCFs!C$31</f>
        <v>0</v>
      </c>
      <c r="AL42" s="34">
        <f t="shared" si="74"/>
        <v>0</v>
      </c>
      <c r="AM42" s="98">
        <v>0</v>
      </c>
      <c r="AN42" s="34">
        <f t="shared" si="75"/>
        <v>352.6</v>
      </c>
      <c r="AO42" s="98">
        <f>RCFs!C$33</f>
        <v>17.632999999999999</v>
      </c>
      <c r="AP42" s="37">
        <f t="shared" si="76"/>
        <v>528.9</v>
      </c>
      <c r="AQ42" s="34">
        <f t="shared" si="77"/>
        <v>348.6</v>
      </c>
      <c r="AR42" s="98">
        <f>RCFs!C$35</f>
        <v>17.43</v>
      </c>
      <c r="AS42" s="37">
        <f t="shared" si="78"/>
        <v>453.1</v>
      </c>
      <c r="AT42" s="37">
        <f t="shared" si="78"/>
        <v>505.4</v>
      </c>
      <c r="AU42" s="34">
        <f t="shared" si="79"/>
        <v>341.8</v>
      </c>
      <c r="AV42" s="98">
        <f>RCFs!C$37</f>
        <v>17.09</v>
      </c>
      <c r="AW42" s="97">
        <f t="shared" si="80"/>
        <v>342.5</v>
      </c>
      <c r="AX42" s="98">
        <f>RCFs!C$64</f>
        <v>17.125999999999998</v>
      </c>
      <c r="AY42" s="34">
        <f t="shared" si="81"/>
        <v>349</v>
      </c>
      <c r="AZ42" s="98">
        <f>RCFs!C$39</f>
        <v>17.45</v>
      </c>
      <c r="BA42" s="34">
        <f t="shared" si="62"/>
        <v>333.5</v>
      </c>
      <c r="BB42" s="98">
        <f>RCFs!C$41</f>
        <v>16.678999999999998</v>
      </c>
    </row>
    <row r="43" spans="1:54" s="41" customFormat="1" x14ac:dyDescent="0.2">
      <c r="A43" s="57" t="s">
        <v>42</v>
      </c>
      <c r="B43" s="39" t="s">
        <v>52</v>
      </c>
      <c r="C43" s="40">
        <v>12</v>
      </c>
      <c r="D43" s="34">
        <f t="shared" si="63"/>
        <v>767.8</v>
      </c>
      <c r="E43" s="33">
        <f>RCFs!C$43</f>
        <v>63.983120993999997</v>
      </c>
      <c r="F43" s="34">
        <f t="shared" si="64"/>
        <v>200.4</v>
      </c>
      <c r="G43" s="98">
        <f>RCFs!C$5</f>
        <v>16.707999999999998</v>
      </c>
      <c r="H43" s="34">
        <f t="shared" si="65"/>
        <v>200.4</v>
      </c>
      <c r="I43" s="98">
        <f t="shared" si="66"/>
        <v>16.707999999999998</v>
      </c>
      <c r="J43" s="37">
        <f t="shared" si="56"/>
        <v>220.5</v>
      </c>
      <c r="K43" s="37">
        <f t="shared" si="56"/>
        <v>274.7</v>
      </c>
      <c r="L43" s="37">
        <f t="shared" si="56"/>
        <v>294.7</v>
      </c>
      <c r="M43" s="37">
        <f t="shared" si="56"/>
        <v>324.8</v>
      </c>
      <c r="N43" s="37">
        <f t="shared" si="56"/>
        <v>401</v>
      </c>
      <c r="O43" s="37">
        <f t="shared" si="56"/>
        <v>431.1</v>
      </c>
      <c r="P43" s="37">
        <f t="shared" si="56"/>
        <v>601.5</v>
      </c>
      <c r="Q43" s="34">
        <f t="shared" si="67"/>
        <v>197.4</v>
      </c>
      <c r="R43" s="98">
        <f>RCFs!C$7</f>
        <v>16.45</v>
      </c>
      <c r="S43" s="37">
        <f t="shared" si="68"/>
        <v>256.60000000000002</v>
      </c>
      <c r="T43" s="37">
        <f t="shared" si="68"/>
        <v>296.10000000000002</v>
      </c>
      <c r="U43" s="34">
        <f t="shared" si="69"/>
        <v>194.3</v>
      </c>
      <c r="V43" s="98">
        <f>RCFs!C$9</f>
        <v>16.192</v>
      </c>
      <c r="W43" s="34">
        <f t="shared" si="70"/>
        <v>194.3</v>
      </c>
      <c r="X43" s="98">
        <f t="shared" si="71"/>
        <v>16.192</v>
      </c>
      <c r="Y43" s="37">
        <f t="shared" si="58"/>
        <v>213.7</v>
      </c>
      <c r="Z43" s="37">
        <f t="shared" si="58"/>
        <v>266.10000000000002</v>
      </c>
      <c r="AA43" s="37">
        <f t="shared" si="58"/>
        <v>314.7</v>
      </c>
      <c r="AB43" s="37">
        <f t="shared" si="58"/>
        <v>285.60000000000002</v>
      </c>
      <c r="AC43" s="37">
        <f t="shared" si="58"/>
        <v>421.6</v>
      </c>
      <c r="AD43" s="37">
        <f t="shared" si="58"/>
        <v>582.9</v>
      </c>
      <c r="AE43" s="34">
        <f t="shared" si="72"/>
        <v>186.2</v>
      </c>
      <c r="AF43" s="98">
        <f>RCFs!C$13</f>
        <v>15.52</v>
      </c>
      <c r="AG43" s="37">
        <f t="shared" si="60"/>
        <v>307.2</v>
      </c>
      <c r="AH43" s="37">
        <f t="shared" si="60"/>
        <v>391</v>
      </c>
      <c r="AI43" s="37">
        <f t="shared" si="60"/>
        <v>558.6</v>
      </c>
      <c r="AJ43" s="34">
        <f t="shared" si="73"/>
        <v>0</v>
      </c>
      <c r="AK43" s="98">
        <f>RCFs!C$31</f>
        <v>0</v>
      </c>
      <c r="AL43" s="34">
        <f t="shared" si="74"/>
        <v>0</v>
      </c>
      <c r="AM43" s="98">
        <v>0</v>
      </c>
      <c r="AN43" s="34">
        <f t="shared" si="75"/>
        <v>211.5</v>
      </c>
      <c r="AO43" s="98">
        <f>RCFs!C$33</f>
        <v>17.632999999999999</v>
      </c>
      <c r="AP43" s="37">
        <f t="shared" si="76"/>
        <v>317.2</v>
      </c>
      <c r="AQ43" s="34">
        <f t="shared" si="77"/>
        <v>209.1</v>
      </c>
      <c r="AR43" s="98">
        <f>RCFs!C$35</f>
        <v>17.43</v>
      </c>
      <c r="AS43" s="37">
        <f t="shared" si="78"/>
        <v>271.8</v>
      </c>
      <c r="AT43" s="37">
        <f t="shared" si="78"/>
        <v>303.10000000000002</v>
      </c>
      <c r="AU43" s="34">
        <f t="shared" si="79"/>
        <v>205</v>
      </c>
      <c r="AV43" s="98">
        <f>RCFs!C$37</f>
        <v>17.09</v>
      </c>
      <c r="AW43" s="97">
        <f t="shared" si="80"/>
        <v>205.5</v>
      </c>
      <c r="AX43" s="98">
        <f>RCFs!C$64</f>
        <v>17.125999999999998</v>
      </c>
      <c r="AY43" s="34">
        <f t="shared" si="81"/>
        <v>209.4</v>
      </c>
      <c r="AZ43" s="98">
        <f>RCFs!C$39</f>
        <v>17.45</v>
      </c>
      <c r="BA43" s="34">
        <f t="shared" si="62"/>
        <v>200.1</v>
      </c>
      <c r="BB43" s="98">
        <f>RCFs!C$41</f>
        <v>16.678999999999998</v>
      </c>
    </row>
    <row r="44" spans="1:54" s="41" customFormat="1" x14ac:dyDescent="0.2">
      <c r="A44" s="57" t="s">
        <v>30</v>
      </c>
      <c r="B44" s="39" t="s">
        <v>53</v>
      </c>
      <c r="C44" s="40">
        <v>6</v>
      </c>
      <c r="D44" s="34">
        <f t="shared" si="63"/>
        <v>383.9</v>
      </c>
      <c r="E44" s="33">
        <f>RCFs!C$43</f>
        <v>63.983120993999997</v>
      </c>
      <c r="F44" s="34">
        <f t="shared" si="64"/>
        <v>100.2</v>
      </c>
      <c r="G44" s="98">
        <f>RCFs!C$5</f>
        <v>16.707999999999998</v>
      </c>
      <c r="H44" s="34">
        <f t="shared" si="65"/>
        <v>100.2</v>
      </c>
      <c r="I44" s="98">
        <f t="shared" si="66"/>
        <v>16.707999999999998</v>
      </c>
      <c r="J44" s="37">
        <f t="shared" si="56"/>
        <v>110.3</v>
      </c>
      <c r="K44" s="37">
        <f t="shared" si="56"/>
        <v>137.30000000000001</v>
      </c>
      <c r="L44" s="37">
        <f t="shared" si="56"/>
        <v>147.4</v>
      </c>
      <c r="M44" s="37">
        <f t="shared" si="56"/>
        <v>162.4</v>
      </c>
      <c r="N44" s="37">
        <f t="shared" si="56"/>
        <v>200.5</v>
      </c>
      <c r="O44" s="37">
        <f t="shared" si="56"/>
        <v>215.5</v>
      </c>
      <c r="P44" s="37">
        <f t="shared" si="56"/>
        <v>300.7</v>
      </c>
      <c r="Q44" s="34">
        <f t="shared" si="67"/>
        <v>98.7</v>
      </c>
      <c r="R44" s="98">
        <f>RCFs!C$7</f>
        <v>16.45</v>
      </c>
      <c r="S44" s="37">
        <f t="shared" si="68"/>
        <v>128.30000000000001</v>
      </c>
      <c r="T44" s="37">
        <f t="shared" si="68"/>
        <v>148</v>
      </c>
      <c r="U44" s="34">
        <f t="shared" si="69"/>
        <v>97.1</v>
      </c>
      <c r="V44" s="98">
        <f>RCFs!C$9</f>
        <v>16.192</v>
      </c>
      <c r="W44" s="34">
        <f t="shared" si="70"/>
        <v>97.2</v>
      </c>
      <c r="X44" s="98">
        <f t="shared" si="71"/>
        <v>16.192</v>
      </c>
      <c r="Y44" s="37">
        <f t="shared" si="58"/>
        <v>106.9</v>
      </c>
      <c r="Z44" s="37">
        <f t="shared" si="58"/>
        <v>133.1</v>
      </c>
      <c r="AA44" s="37">
        <f t="shared" si="58"/>
        <v>157.4</v>
      </c>
      <c r="AB44" s="37">
        <f t="shared" si="58"/>
        <v>142.80000000000001</v>
      </c>
      <c r="AC44" s="37">
        <f t="shared" si="58"/>
        <v>210.9</v>
      </c>
      <c r="AD44" s="37">
        <f t="shared" si="58"/>
        <v>291.60000000000002</v>
      </c>
      <c r="AE44" s="34">
        <f t="shared" si="72"/>
        <v>93.1</v>
      </c>
      <c r="AF44" s="98">
        <f>RCFs!C$13</f>
        <v>15.52</v>
      </c>
      <c r="AG44" s="37">
        <f t="shared" si="60"/>
        <v>153.6</v>
      </c>
      <c r="AH44" s="37">
        <f t="shared" si="60"/>
        <v>195.5</v>
      </c>
      <c r="AI44" s="37">
        <f t="shared" si="60"/>
        <v>279.3</v>
      </c>
      <c r="AJ44" s="34">
        <f t="shared" si="73"/>
        <v>0</v>
      </c>
      <c r="AK44" s="98">
        <f>RCFs!C$31</f>
        <v>0</v>
      </c>
      <c r="AL44" s="34">
        <f t="shared" si="74"/>
        <v>0</v>
      </c>
      <c r="AM44" s="98">
        <v>0</v>
      </c>
      <c r="AN44" s="34">
        <f t="shared" si="75"/>
        <v>105.7</v>
      </c>
      <c r="AO44" s="98">
        <f>RCFs!C$33</f>
        <v>17.632999999999999</v>
      </c>
      <c r="AP44" s="37">
        <f t="shared" si="76"/>
        <v>158.5</v>
      </c>
      <c r="AQ44" s="34">
        <f t="shared" si="77"/>
        <v>104.5</v>
      </c>
      <c r="AR44" s="98">
        <f>RCFs!C$35</f>
        <v>17.43</v>
      </c>
      <c r="AS44" s="37">
        <f t="shared" si="78"/>
        <v>135.80000000000001</v>
      </c>
      <c r="AT44" s="37">
        <f t="shared" si="78"/>
        <v>151.5</v>
      </c>
      <c r="AU44" s="34">
        <f t="shared" si="79"/>
        <v>102.5</v>
      </c>
      <c r="AV44" s="98">
        <f>RCFs!C$37</f>
        <v>17.09</v>
      </c>
      <c r="AW44" s="97">
        <f t="shared" si="80"/>
        <v>102.7</v>
      </c>
      <c r="AX44" s="98">
        <f>RCFs!C$64</f>
        <v>17.125999999999998</v>
      </c>
      <c r="AY44" s="34">
        <f t="shared" si="81"/>
        <v>104.7</v>
      </c>
      <c r="AZ44" s="98">
        <f>RCFs!C$39</f>
        <v>17.45</v>
      </c>
      <c r="BA44" s="34">
        <f t="shared" si="62"/>
        <v>100</v>
      </c>
      <c r="BB44" s="98">
        <f>RCFs!C$41</f>
        <v>16.678999999999998</v>
      </c>
    </row>
    <row r="45" spans="1:54" s="41" customFormat="1" ht="25.5" x14ac:dyDescent="0.2">
      <c r="A45" s="57" t="s">
        <v>29</v>
      </c>
      <c r="B45" s="39" t="s">
        <v>54</v>
      </c>
      <c r="C45" s="40">
        <v>3</v>
      </c>
      <c r="D45" s="34">
        <f t="shared" si="63"/>
        <v>191.9</v>
      </c>
      <c r="E45" s="33">
        <f>RCFs!C$43</f>
        <v>63.983120993999997</v>
      </c>
      <c r="F45" s="34">
        <f t="shared" si="64"/>
        <v>50.1</v>
      </c>
      <c r="G45" s="98">
        <f>RCFs!C$5</f>
        <v>16.707999999999998</v>
      </c>
      <c r="H45" s="34">
        <f t="shared" si="65"/>
        <v>50.1</v>
      </c>
      <c r="I45" s="98">
        <f t="shared" si="66"/>
        <v>16.707999999999998</v>
      </c>
      <c r="J45" s="37">
        <f t="shared" si="56"/>
        <v>55.1</v>
      </c>
      <c r="K45" s="37">
        <f t="shared" si="56"/>
        <v>68.7</v>
      </c>
      <c r="L45" s="37">
        <f t="shared" si="56"/>
        <v>73.7</v>
      </c>
      <c r="M45" s="37">
        <f t="shared" si="56"/>
        <v>81.2</v>
      </c>
      <c r="N45" s="37">
        <f t="shared" si="56"/>
        <v>100.2</v>
      </c>
      <c r="O45" s="37">
        <f t="shared" si="56"/>
        <v>107.8</v>
      </c>
      <c r="P45" s="37">
        <f t="shared" si="56"/>
        <v>150.4</v>
      </c>
      <c r="Q45" s="34">
        <f t="shared" si="67"/>
        <v>49.3</v>
      </c>
      <c r="R45" s="98">
        <f>RCFs!C$7</f>
        <v>16.45</v>
      </c>
      <c r="S45" s="37">
        <f t="shared" si="68"/>
        <v>64</v>
      </c>
      <c r="T45" s="37">
        <f t="shared" si="68"/>
        <v>73.900000000000006</v>
      </c>
      <c r="U45" s="34">
        <f t="shared" si="69"/>
        <v>48.5</v>
      </c>
      <c r="V45" s="98">
        <f>RCFs!C$9</f>
        <v>16.192</v>
      </c>
      <c r="W45" s="34">
        <f t="shared" si="70"/>
        <v>48.6</v>
      </c>
      <c r="X45" s="98">
        <f t="shared" si="71"/>
        <v>16.192</v>
      </c>
      <c r="Y45" s="37">
        <f t="shared" si="58"/>
        <v>53.4</v>
      </c>
      <c r="Z45" s="37">
        <f t="shared" si="58"/>
        <v>66.5</v>
      </c>
      <c r="AA45" s="37">
        <f t="shared" si="58"/>
        <v>78.7</v>
      </c>
      <c r="AB45" s="37">
        <f t="shared" si="58"/>
        <v>71.400000000000006</v>
      </c>
      <c r="AC45" s="37">
        <f t="shared" si="58"/>
        <v>105.4</v>
      </c>
      <c r="AD45" s="37">
        <f t="shared" si="58"/>
        <v>145.80000000000001</v>
      </c>
      <c r="AE45" s="34">
        <f t="shared" si="72"/>
        <v>46.6</v>
      </c>
      <c r="AF45" s="98">
        <f>RCFs!C$13</f>
        <v>15.52</v>
      </c>
      <c r="AG45" s="37">
        <f t="shared" si="60"/>
        <v>76.900000000000006</v>
      </c>
      <c r="AH45" s="37">
        <f t="shared" si="60"/>
        <v>97.9</v>
      </c>
      <c r="AI45" s="37">
        <f t="shared" si="60"/>
        <v>139.80000000000001</v>
      </c>
      <c r="AJ45" s="34">
        <f t="shared" si="73"/>
        <v>0</v>
      </c>
      <c r="AK45" s="98">
        <f>RCFs!C$31</f>
        <v>0</v>
      </c>
      <c r="AL45" s="34">
        <f t="shared" si="74"/>
        <v>0</v>
      </c>
      <c r="AM45" s="98">
        <v>0</v>
      </c>
      <c r="AN45" s="34">
        <f t="shared" si="75"/>
        <v>52.8</v>
      </c>
      <c r="AO45" s="98">
        <f>RCFs!C$33</f>
        <v>17.632999999999999</v>
      </c>
      <c r="AP45" s="37">
        <f t="shared" si="76"/>
        <v>79.2</v>
      </c>
      <c r="AQ45" s="34">
        <f t="shared" si="77"/>
        <v>52.2</v>
      </c>
      <c r="AR45" s="98">
        <f>RCFs!C$35</f>
        <v>17.43</v>
      </c>
      <c r="AS45" s="37">
        <f t="shared" si="78"/>
        <v>67.8</v>
      </c>
      <c r="AT45" s="37">
        <f t="shared" si="78"/>
        <v>75.599999999999994</v>
      </c>
      <c r="AU45" s="34">
        <f t="shared" si="79"/>
        <v>51.2</v>
      </c>
      <c r="AV45" s="98">
        <f>RCFs!C$37</f>
        <v>17.09</v>
      </c>
      <c r="AW45" s="97">
        <f t="shared" si="80"/>
        <v>51.3</v>
      </c>
      <c r="AX45" s="98">
        <f>RCFs!C$64</f>
        <v>17.125999999999998</v>
      </c>
      <c r="AY45" s="34">
        <f t="shared" si="81"/>
        <v>52.3</v>
      </c>
      <c r="AZ45" s="98">
        <f>RCFs!C$39</f>
        <v>17.45</v>
      </c>
      <c r="BA45" s="34">
        <f t="shared" si="62"/>
        <v>50</v>
      </c>
      <c r="BB45" s="98">
        <f>RCFs!C$41</f>
        <v>16.678999999999998</v>
      </c>
    </row>
    <row r="46" spans="1:54" s="41" customFormat="1" ht="25.5" x14ac:dyDescent="0.2">
      <c r="A46" s="57" t="s">
        <v>28</v>
      </c>
      <c r="B46" s="39" t="s">
        <v>55</v>
      </c>
      <c r="C46" s="40">
        <v>42</v>
      </c>
      <c r="D46" s="34">
        <f t="shared" si="63"/>
        <v>2687.3</v>
      </c>
      <c r="E46" s="33">
        <f>RCFs!C$43</f>
        <v>63.983120993999997</v>
      </c>
      <c r="F46" s="34">
        <f t="shared" si="64"/>
        <v>701.7</v>
      </c>
      <c r="G46" s="98">
        <f>RCFs!C$5</f>
        <v>16.707999999999998</v>
      </c>
      <c r="H46" s="34">
        <f t="shared" si="65"/>
        <v>701.7</v>
      </c>
      <c r="I46" s="98">
        <f t="shared" si="66"/>
        <v>16.707999999999998</v>
      </c>
      <c r="J46" s="37">
        <f t="shared" si="56"/>
        <v>771.9</v>
      </c>
      <c r="K46" s="37">
        <f t="shared" si="56"/>
        <v>961.4</v>
      </c>
      <c r="L46" s="37">
        <f t="shared" si="56"/>
        <v>1031.5999999999999</v>
      </c>
      <c r="M46" s="37">
        <f t="shared" si="56"/>
        <v>1136.8</v>
      </c>
      <c r="N46" s="37">
        <f t="shared" si="56"/>
        <v>1403.5</v>
      </c>
      <c r="O46" s="37">
        <f t="shared" si="56"/>
        <v>1508.7</v>
      </c>
      <c r="P46" s="37">
        <f t="shared" si="56"/>
        <v>2105.1999999999998</v>
      </c>
      <c r="Q46" s="34">
        <f t="shared" si="67"/>
        <v>690.9</v>
      </c>
      <c r="R46" s="98">
        <f>RCFs!C$7</f>
        <v>16.45</v>
      </c>
      <c r="S46" s="37">
        <f t="shared" si="68"/>
        <v>898.1</v>
      </c>
      <c r="T46" s="37">
        <f t="shared" si="68"/>
        <v>1036.3</v>
      </c>
      <c r="U46" s="34">
        <f t="shared" si="69"/>
        <v>680</v>
      </c>
      <c r="V46" s="98">
        <f>RCFs!C$9</f>
        <v>16.192</v>
      </c>
      <c r="W46" s="34">
        <f t="shared" si="70"/>
        <v>680.1</v>
      </c>
      <c r="X46" s="98">
        <f t="shared" si="71"/>
        <v>16.192</v>
      </c>
      <c r="Y46" s="37">
        <f t="shared" si="58"/>
        <v>748.1</v>
      </c>
      <c r="Z46" s="37">
        <f t="shared" si="58"/>
        <v>931.7</v>
      </c>
      <c r="AA46" s="37">
        <f t="shared" si="58"/>
        <v>1101.7</v>
      </c>
      <c r="AB46" s="37">
        <f t="shared" si="58"/>
        <v>999.7</v>
      </c>
      <c r="AC46" s="37">
        <f t="shared" si="58"/>
        <v>1475.8</v>
      </c>
      <c r="AD46" s="37">
        <f t="shared" si="58"/>
        <v>2040.3</v>
      </c>
      <c r="AE46" s="34">
        <f t="shared" si="72"/>
        <v>651.79999999999995</v>
      </c>
      <c r="AF46" s="98">
        <f>RCFs!C$13</f>
        <v>15.52</v>
      </c>
      <c r="AG46" s="37">
        <f t="shared" si="60"/>
        <v>1075.5</v>
      </c>
      <c r="AH46" s="37">
        <f t="shared" si="60"/>
        <v>1368.8</v>
      </c>
      <c r="AI46" s="37">
        <f t="shared" si="60"/>
        <v>1955.4</v>
      </c>
      <c r="AJ46" s="34">
        <f t="shared" si="73"/>
        <v>0</v>
      </c>
      <c r="AK46" s="98">
        <f>RCFs!C$31</f>
        <v>0</v>
      </c>
      <c r="AL46" s="34">
        <f t="shared" si="74"/>
        <v>0</v>
      </c>
      <c r="AM46" s="98">
        <v>0</v>
      </c>
      <c r="AN46" s="34">
        <f t="shared" si="75"/>
        <v>740.5</v>
      </c>
      <c r="AO46" s="98">
        <f>RCFs!C$33</f>
        <v>17.632999999999999</v>
      </c>
      <c r="AP46" s="37">
        <f t="shared" si="76"/>
        <v>1110.7</v>
      </c>
      <c r="AQ46" s="34">
        <f t="shared" si="77"/>
        <v>732</v>
      </c>
      <c r="AR46" s="98">
        <f>RCFs!C$35</f>
        <v>17.43</v>
      </c>
      <c r="AS46" s="37">
        <f t="shared" si="78"/>
        <v>951.6</v>
      </c>
      <c r="AT46" s="37">
        <f t="shared" si="78"/>
        <v>1061.4000000000001</v>
      </c>
      <c r="AU46" s="34">
        <f t="shared" si="79"/>
        <v>717.7</v>
      </c>
      <c r="AV46" s="98">
        <f>RCFs!C$37</f>
        <v>17.09</v>
      </c>
      <c r="AW46" s="97">
        <f t="shared" si="80"/>
        <v>719.2</v>
      </c>
      <c r="AX46" s="98">
        <f>RCFs!C$64</f>
        <v>17.125999999999998</v>
      </c>
      <c r="AY46" s="34">
        <f t="shared" si="81"/>
        <v>732.9</v>
      </c>
      <c r="AZ46" s="98">
        <f>RCFs!C$39</f>
        <v>17.45</v>
      </c>
      <c r="BA46" s="34">
        <f t="shared" si="62"/>
        <v>700.5</v>
      </c>
      <c r="BB46" s="98">
        <f>RCFs!C$41</f>
        <v>16.678999999999998</v>
      </c>
    </row>
    <row r="47" spans="1:54" s="41" customFormat="1" ht="25.5" x14ac:dyDescent="0.2">
      <c r="A47" s="57" t="s">
        <v>32</v>
      </c>
      <c r="B47" s="39" t="s">
        <v>56</v>
      </c>
      <c r="C47" s="40">
        <v>14</v>
      </c>
      <c r="D47" s="34">
        <f t="shared" si="63"/>
        <v>895.8</v>
      </c>
      <c r="E47" s="33">
        <f>RCFs!C$43</f>
        <v>63.983120993999997</v>
      </c>
      <c r="F47" s="34">
        <f t="shared" si="64"/>
        <v>233.9</v>
      </c>
      <c r="G47" s="98">
        <f>RCFs!C$5</f>
        <v>16.707999999999998</v>
      </c>
      <c r="H47" s="34">
        <f t="shared" si="65"/>
        <v>233.9</v>
      </c>
      <c r="I47" s="98">
        <f t="shared" si="66"/>
        <v>16.707999999999998</v>
      </c>
      <c r="J47" s="37">
        <f t="shared" si="56"/>
        <v>257.3</v>
      </c>
      <c r="K47" s="37">
        <f t="shared" si="56"/>
        <v>320.5</v>
      </c>
      <c r="L47" s="37">
        <f t="shared" si="56"/>
        <v>343.9</v>
      </c>
      <c r="M47" s="37">
        <f t="shared" si="56"/>
        <v>378.9</v>
      </c>
      <c r="N47" s="37">
        <f t="shared" si="56"/>
        <v>467.8</v>
      </c>
      <c r="O47" s="37">
        <f t="shared" si="56"/>
        <v>502.9</v>
      </c>
      <c r="P47" s="37">
        <f t="shared" si="56"/>
        <v>701.7</v>
      </c>
      <c r="Q47" s="34">
        <f t="shared" si="67"/>
        <v>230.3</v>
      </c>
      <c r="R47" s="98">
        <f>RCFs!C$7</f>
        <v>16.45</v>
      </c>
      <c r="S47" s="37">
        <f t="shared" si="68"/>
        <v>299.3</v>
      </c>
      <c r="T47" s="37">
        <f t="shared" si="68"/>
        <v>345.4</v>
      </c>
      <c r="U47" s="34">
        <f t="shared" si="69"/>
        <v>226.6</v>
      </c>
      <c r="V47" s="98">
        <f>RCFs!C$9</f>
        <v>16.192</v>
      </c>
      <c r="W47" s="34">
        <f t="shared" si="70"/>
        <v>226.7</v>
      </c>
      <c r="X47" s="98">
        <f t="shared" si="71"/>
        <v>16.192</v>
      </c>
      <c r="Y47" s="37">
        <f t="shared" si="58"/>
        <v>249.3</v>
      </c>
      <c r="Z47" s="37">
        <f t="shared" si="58"/>
        <v>310.5</v>
      </c>
      <c r="AA47" s="37">
        <f t="shared" si="58"/>
        <v>367.2</v>
      </c>
      <c r="AB47" s="37">
        <f t="shared" si="58"/>
        <v>333.2</v>
      </c>
      <c r="AC47" s="37">
        <f t="shared" si="58"/>
        <v>491.9</v>
      </c>
      <c r="AD47" s="37">
        <f t="shared" si="58"/>
        <v>680.1</v>
      </c>
      <c r="AE47" s="34">
        <f t="shared" si="72"/>
        <v>217.3</v>
      </c>
      <c r="AF47" s="98">
        <f>RCFs!C$13</f>
        <v>15.52</v>
      </c>
      <c r="AG47" s="37">
        <f t="shared" si="60"/>
        <v>358.5</v>
      </c>
      <c r="AH47" s="37">
        <f t="shared" si="60"/>
        <v>456.3</v>
      </c>
      <c r="AI47" s="37">
        <f t="shared" si="60"/>
        <v>651.9</v>
      </c>
      <c r="AJ47" s="34">
        <f t="shared" si="73"/>
        <v>0</v>
      </c>
      <c r="AK47" s="98">
        <f>RCFs!C$31</f>
        <v>0</v>
      </c>
      <c r="AL47" s="34">
        <f t="shared" si="74"/>
        <v>0</v>
      </c>
      <c r="AM47" s="98">
        <v>0</v>
      </c>
      <c r="AN47" s="34">
        <f t="shared" si="75"/>
        <v>246.8</v>
      </c>
      <c r="AO47" s="98">
        <f>RCFs!C$33</f>
        <v>17.632999999999999</v>
      </c>
      <c r="AP47" s="37">
        <f t="shared" si="76"/>
        <v>370.2</v>
      </c>
      <c r="AQ47" s="34">
        <f t="shared" si="77"/>
        <v>244</v>
      </c>
      <c r="AR47" s="98">
        <f>RCFs!C$35</f>
        <v>17.43</v>
      </c>
      <c r="AS47" s="37">
        <f t="shared" si="78"/>
        <v>317.2</v>
      </c>
      <c r="AT47" s="37">
        <f t="shared" si="78"/>
        <v>353.8</v>
      </c>
      <c r="AU47" s="34">
        <f t="shared" si="79"/>
        <v>239.2</v>
      </c>
      <c r="AV47" s="98">
        <f>RCFs!C$37</f>
        <v>17.09</v>
      </c>
      <c r="AW47" s="97">
        <f t="shared" si="80"/>
        <v>239.7</v>
      </c>
      <c r="AX47" s="98">
        <f>RCFs!C$64</f>
        <v>17.125999999999998</v>
      </c>
      <c r="AY47" s="34">
        <f t="shared" si="81"/>
        <v>244.3</v>
      </c>
      <c r="AZ47" s="98">
        <f>RCFs!C$39</f>
        <v>17.45</v>
      </c>
      <c r="BA47" s="34">
        <f t="shared" si="62"/>
        <v>233.5</v>
      </c>
      <c r="BB47" s="98">
        <f>RCFs!C$41</f>
        <v>16.678999999999998</v>
      </c>
    </row>
    <row r="48" spans="1:54" s="41" customFormat="1" ht="38.25" x14ac:dyDescent="0.2">
      <c r="A48" s="57" t="s">
        <v>33</v>
      </c>
      <c r="B48" s="39" t="s">
        <v>57</v>
      </c>
      <c r="C48" s="40">
        <v>7</v>
      </c>
      <c r="D48" s="34">
        <f t="shared" si="63"/>
        <v>447.9</v>
      </c>
      <c r="E48" s="33">
        <f>RCFs!C$43</f>
        <v>63.983120993999997</v>
      </c>
      <c r="F48" s="34">
        <f t="shared" si="64"/>
        <v>116.9</v>
      </c>
      <c r="G48" s="98">
        <f>RCFs!C$5</f>
        <v>16.707999999999998</v>
      </c>
      <c r="H48" s="34">
        <f t="shared" si="65"/>
        <v>116.9</v>
      </c>
      <c r="I48" s="98">
        <f t="shared" si="66"/>
        <v>16.707999999999998</v>
      </c>
      <c r="J48" s="37">
        <f t="shared" si="56"/>
        <v>128.69999999999999</v>
      </c>
      <c r="K48" s="37">
        <f t="shared" si="56"/>
        <v>160.19999999999999</v>
      </c>
      <c r="L48" s="37">
        <f t="shared" si="56"/>
        <v>171.9</v>
      </c>
      <c r="M48" s="37">
        <f t="shared" si="56"/>
        <v>189.5</v>
      </c>
      <c r="N48" s="37">
        <f t="shared" si="56"/>
        <v>233.9</v>
      </c>
      <c r="O48" s="37">
        <f t="shared" si="56"/>
        <v>251.5</v>
      </c>
      <c r="P48" s="37">
        <f t="shared" si="56"/>
        <v>350.9</v>
      </c>
      <c r="Q48" s="34">
        <f t="shared" si="67"/>
        <v>115.1</v>
      </c>
      <c r="R48" s="98">
        <f>RCFs!C$7</f>
        <v>16.45</v>
      </c>
      <c r="S48" s="37">
        <f t="shared" si="68"/>
        <v>149.6</v>
      </c>
      <c r="T48" s="37">
        <f t="shared" si="68"/>
        <v>172.6</v>
      </c>
      <c r="U48" s="34">
        <f t="shared" si="69"/>
        <v>113.3</v>
      </c>
      <c r="V48" s="98">
        <f>RCFs!C$9</f>
        <v>16.192</v>
      </c>
      <c r="W48" s="34">
        <f t="shared" si="70"/>
        <v>113.3</v>
      </c>
      <c r="X48" s="98">
        <f t="shared" si="71"/>
        <v>16.192</v>
      </c>
      <c r="Y48" s="37">
        <f t="shared" si="58"/>
        <v>124.6</v>
      </c>
      <c r="Z48" s="37">
        <f t="shared" si="58"/>
        <v>155.19999999999999</v>
      </c>
      <c r="AA48" s="37">
        <f t="shared" si="58"/>
        <v>183.5</v>
      </c>
      <c r="AB48" s="37">
        <f t="shared" si="58"/>
        <v>166.5</v>
      </c>
      <c r="AC48" s="37">
        <f t="shared" si="58"/>
        <v>245.8</v>
      </c>
      <c r="AD48" s="37">
        <f t="shared" si="58"/>
        <v>339.9</v>
      </c>
      <c r="AE48" s="34">
        <f t="shared" si="72"/>
        <v>108.6</v>
      </c>
      <c r="AF48" s="98">
        <f>RCFs!C$13</f>
        <v>15.52</v>
      </c>
      <c r="AG48" s="37">
        <f t="shared" si="60"/>
        <v>179.2</v>
      </c>
      <c r="AH48" s="37">
        <f t="shared" si="60"/>
        <v>228.1</v>
      </c>
      <c r="AI48" s="37">
        <f t="shared" si="60"/>
        <v>325.8</v>
      </c>
      <c r="AJ48" s="34">
        <f t="shared" si="73"/>
        <v>0</v>
      </c>
      <c r="AK48" s="98">
        <f>RCFs!C$31</f>
        <v>0</v>
      </c>
      <c r="AL48" s="34">
        <f t="shared" si="74"/>
        <v>0</v>
      </c>
      <c r="AM48" s="98">
        <v>0</v>
      </c>
      <c r="AN48" s="34">
        <f t="shared" si="75"/>
        <v>123.4</v>
      </c>
      <c r="AO48" s="98">
        <f>RCFs!C$33</f>
        <v>17.632999999999999</v>
      </c>
      <c r="AP48" s="37">
        <f t="shared" si="76"/>
        <v>185.1</v>
      </c>
      <c r="AQ48" s="34">
        <f t="shared" si="77"/>
        <v>122</v>
      </c>
      <c r="AR48" s="98">
        <f>RCFs!C$35</f>
        <v>17.43</v>
      </c>
      <c r="AS48" s="37">
        <f t="shared" si="78"/>
        <v>158.6</v>
      </c>
      <c r="AT48" s="37">
        <f t="shared" si="78"/>
        <v>176.9</v>
      </c>
      <c r="AU48" s="34">
        <f t="shared" si="79"/>
        <v>119.6</v>
      </c>
      <c r="AV48" s="98">
        <f>RCFs!C$37</f>
        <v>17.09</v>
      </c>
      <c r="AW48" s="97">
        <f t="shared" si="80"/>
        <v>119.8</v>
      </c>
      <c r="AX48" s="98">
        <f>RCFs!C$64</f>
        <v>17.125999999999998</v>
      </c>
      <c r="AY48" s="34">
        <f t="shared" si="81"/>
        <v>122.1</v>
      </c>
      <c r="AZ48" s="98">
        <f>RCFs!C$39</f>
        <v>17.45</v>
      </c>
      <c r="BA48" s="34">
        <f t="shared" si="62"/>
        <v>116.7</v>
      </c>
      <c r="BB48" s="98">
        <f>RCFs!C$41</f>
        <v>16.678999999999998</v>
      </c>
    </row>
    <row r="49" spans="1:54" s="41" customFormat="1" ht="25.5" x14ac:dyDescent="0.2">
      <c r="A49" s="57" t="s">
        <v>37</v>
      </c>
      <c r="B49" s="39" t="s">
        <v>58</v>
      </c>
      <c r="C49" s="40">
        <v>30</v>
      </c>
      <c r="D49" s="34">
        <f t="shared" si="63"/>
        <v>1919.5</v>
      </c>
      <c r="E49" s="33">
        <f>RCFs!C$43</f>
        <v>63.983120993999997</v>
      </c>
      <c r="F49" s="34">
        <f t="shared" si="64"/>
        <v>501.2</v>
      </c>
      <c r="G49" s="98">
        <f>RCFs!C$5</f>
        <v>16.707999999999998</v>
      </c>
      <c r="H49" s="34">
        <f t="shared" si="65"/>
        <v>501.2</v>
      </c>
      <c r="I49" s="98">
        <f t="shared" si="66"/>
        <v>16.707999999999998</v>
      </c>
      <c r="J49" s="37">
        <f t="shared" si="56"/>
        <v>551.4</v>
      </c>
      <c r="K49" s="37">
        <f t="shared" si="56"/>
        <v>686.7</v>
      </c>
      <c r="L49" s="37">
        <f t="shared" si="56"/>
        <v>736.8</v>
      </c>
      <c r="M49" s="37">
        <f t="shared" si="56"/>
        <v>812</v>
      </c>
      <c r="N49" s="37">
        <f t="shared" si="56"/>
        <v>1002.5</v>
      </c>
      <c r="O49" s="37">
        <f t="shared" si="56"/>
        <v>1077.7</v>
      </c>
      <c r="P49" s="37">
        <f t="shared" si="56"/>
        <v>1503.7</v>
      </c>
      <c r="Q49" s="34">
        <f t="shared" si="67"/>
        <v>493.5</v>
      </c>
      <c r="R49" s="98">
        <f>RCFs!C$7</f>
        <v>16.45</v>
      </c>
      <c r="S49" s="37">
        <f t="shared" si="68"/>
        <v>641.5</v>
      </c>
      <c r="T49" s="37">
        <f t="shared" si="68"/>
        <v>740.2</v>
      </c>
      <c r="U49" s="34">
        <f t="shared" si="69"/>
        <v>485.7</v>
      </c>
      <c r="V49" s="98">
        <f>RCFs!C$9</f>
        <v>16.192</v>
      </c>
      <c r="W49" s="34">
        <f t="shared" si="70"/>
        <v>485.8</v>
      </c>
      <c r="X49" s="98">
        <f t="shared" si="71"/>
        <v>16.192</v>
      </c>
      <c r="Y49" s="37">
        <f t="shared" si="58"/>
        <v>534.29999999999995</v>
      </c>
      <c r="Z49" s="37">
        <f t="shared" si="58"/>
        <v>665.5</v>
      </c>
      <c r="AA49" s="37">
        <f t="shared" si="58"/>
        <v>786.9</v>
      </c>
      <c r="AB49" s="37">
        <f t="shared" si="58"/>
        <v>714.1</v>
      </c>
      <c r="AC49" s="37">
        <f t="shared" si="58"/>
        <v>1054.0999999999999</v>
      </c>
      <c r="AD49" s="37">
        <f t="shared" si="58"/>
        <v>1457.4</v>
      </c>
      <c r="AE49" s="34">
        <f t="shared" si="72"/>
        <v>465.6</v>
      </c>
      <c r="AF49" s="98">
        <f>RCFs!C$13</f>
        <v>15.52</v>
      </c>
      <c r="AG49" s="37">
        <f t="shared" si="60"/>
        <v>768.2</v>
      </c>
      <c r="AH49" s="37">
        <f t="shared" si="60"/>
        <v>977.8</v>
      </c>
      <c r="AI49" s="37">
        <f t="shared" si="60"/>
        <v>1396.8</v>
      </c>
      <c r="AJ49" s="34">
        <f t="shared" si="73"/>
        <v>0</v>
      </c>
      <c r="AK49" s="98">
        <f>RCFs!C$31</f>
        <v>0</v>
      </c>
      <c r="AL49" s="34">
        <f t="shared" si="74"/>
        <v>0</v>
      </c>
      <c r="AM49" s="98">
        <v>0</v>
      </c>
      <c r="AN49" s="34">
        <f t="shared" si="75"/>
        <v>528.9</v>
      </c>
      <c r="AO49" s="98">
        <f>RCFs!C$33</f>
        <v>17.632999999999999</v>
      </c>
      <c r="AP49" s="37">
        <f t="shared" si="76"/>
        <v>793.3</v>
      </c>
      <c r="AQ49" s="34">
        <f t="shared" si="77"/>
        <v>522.9</v>
      </c>
      <c r="AR49" s="98">
        <f>RCFs!C$35</f>
        <v>17.43</v>
      </c>
      <c r="AS49" s="37">
        <f t="shared" si="78"/>
        <v>679.7</v>
      </c>
      <c r="AT49" s="37">
        <f t="shared" si="78"/>
        <v>758.2</v>
      </c>
      <c r="AU49" s="34">
        <f t="shared" si="79"/>
        <v>512.70000000000005</v>
      </c>
      <c r="AV49" s="98">
        <f>RCFs!C$37</f>
        <v>17.09</v>
      </c>
      <c r="AW49" s="97">
        <f t="shared" si="80"/>
        <v>513.70000000000005</v>
      </c>
      <c r="AX49" s="98">
        <f>RCFs!C$64</f>
        <v>17.125999999999998</v>
      </c>
      <c r="AY49" s="34">
        <f t="shared" si="81"/>
        <v>523.5</v>
      </c>
      <c r="AZ49" s="98">
        <f>RCFs!C$39</f>
        <v>17.45</v>
      </c>
      <c r="BA49" s="34">
        <f t="shared" si="62"/>
        <v>500.3</v>
      </c>
      <c r="BB49" s="98">
        <f>RCFs!C$41</f>
        <v>16.678999999999998</v>
      </c>
    </row>
    <row r="50" spans="1:54" s="41" customFormat="1" x14ac:dyDescent="0.2">
      <c r="A50" s="57" t="s">
        <v>46</v>
      </c>
      <c r="B50" s="39" t="s">
        <v>59</v>
      </c>
      <c r="C50" s="40">
        <v>70</v>
      </c>
      <c r="D50" s="34">
        <f t="shared" si="63"/>
        <v>4478.8</v>
      </c>
      <c r="E50" s="33">
        <f>RCFs!C$43</f>
        <v>63.983120993999997</v>
      </c>
      <c r="F50" s="34">
        <f t="shared" si="64"/>
        <v>1169.5</v>
      </c>
      <c r="G50" s="98">
        <f>RCFs!C$5</f>
        <v>16.707999999999998</v>
      </c>
      <c r="H50" s="34">
        <f t="shared" si="65"/>
        <v>1169.5</v>
      </c>
      <c r="I50" s="98">
        <f t="shared" si="66"/>
        <v>16.707999999999998</v>
      </c>
      <c r="J50" s="37">
        <f t="shared" si="56"/>
        <v>1286.5</v>
      </c>
      <c r="K50" s="37">
        <f t="shared" si="56"/>
        <v>1602.3</v>
      </c>
      <c r="L50" s="37">
        <f t="shared" si="56"/>
        <v>1719.3</v>
      </c>
      <c r="M50" s="37">
        <f t="shared" si="56"/>
        <v>1894.7</v>
      </c>
      <c r="N50" s="37">
        <f t="shared" si="56"/>
        <v>2339.1</v>
      </c>
      <c r="O50" s="37">
        <f t="shared" si="56"/>
        <v>2514.6</v>
      </c>
      <c r="P50" s="37">
        <f t="shared" si="56"/>
        <v>3508.7</v>
      </c>
      <c r="Q50" s="34">
        <f t="shared" si="67"/>
        <v>1151.5</v>
      </c>
      <c r="R50" s="98">
        <f>RCFs!C$7</f>
        <v>16.45</v>
      </c>
      <c r="S50" s="37">
        <f t="shared" si="68"/>
        <v>1496.9</v>
      </c>
      <c r="T50" s="37">
        <f t="shared" si="68"/>
        <v>1727.2</v>
      </c>
      <c r="U50" s="34">
        <f t="shared" si="69"/>
        <v>1133.4000000000001</v>
      </c>
      <c r="V50" s="98">
        <f>RCFs!C$9</f>
        <v>16.192</v>
      </c>
      <c r="W50" s="34">
        <f t="shared" si="70"/>
        <v>1133.4000000000001</v>
      </c>
      <c r="X50" s="98">
        <f t="shared" si="71"/>
        <v>16.192</v>
      </c>
      <c r="Y50" s="37">
        <f t="shared" si="58"/>
        <v>1246.7</v>
      </c>
      <c r="Z50" s="37">
        <f t="shared" si="58"/>
        <v>1552.7</v>
      </c>
      <c r="AA50" s="37">
        <f t="shared" si="58"/>
        <v>1836.1</v>
      </c>
      <c r="AB50" s="37">
        <f t="shared" si="58"/>
        <v>1666</v>
      </c>
      <c r="AC50" s="37">
        <f t="shared" si="58"/>
        <v>2459.4</v>
      </c>
      <c r="AD50" s="37">
        <f t="shared" si="58"/>
        <v>3400.2</v>
      </c>
      <c r="AE50" s="34">
        <f t="shared" si="72"/>
        <v>1086.4000000000001</v>
      </c>
      <c r="AF50" s="98">
        <f>RCFs!C$13</f>
        <v>15.52</v>
      </c>
      <c r="AG50" s="37">
        <f t="shared" si="60"/>
        <v>1792.6</v>
      </c>
      <c r="AH50" s="37">
        <f t="shared" si="60"/>
        <v>2281.4</v>
      </c>
      <c r="AI50" s="37">
        <f t="shared" si="60"/>
        <v>3259.2</v>
      </c>
      <c r="AJ50" s="34">
        <f t="shared" si="73"/>
        <v>0</v>
      </c>
      <c r="AK50" s="98">
        <f>RCFs!C$31</f>
        <v>0</v>
      </c>
      <c r="AL50" s="34">
        <f t="shared" si="74"/>
        <v>0</v>
      </c>
      <c r="AM50" s="98">
        <v>0</v>
      </c>
      <c r="AN50" s="34">
        <f t="shared" si="75"/>
        <v>1234.3</v>
      </c>
      <c r="AO50" s="98">
        <f>RCFs!C$33</f>
        <v>17.632999999999999</v>
      </c>
      <c r="AP50" s="37">
        <f t="shared" si="76"/>
        <v>1851.4</v>
      </c>
      <c r="AQ50" s="34">
        <f t="shared" si="77"/>
        <v>1220.0999999999999</v>
      </c>
      <c r="AR50" s="98">
        <f>RCFs!C$35</f>
        <v>17.43</v>
      </c>
      <c r="AS50" s="37">
        <f t="shared" si="78"/>
        <v>1586.1</v>
      </c>
      <c r="AT50" s="37">
        <f t="shared" si="78"/>
        <v>1769.1</v>
      </c>
      <c r="AU50" s="34">
        <f t="shared" si="79"/>
        <v>1196.3</v>
      </c>
      <c r="AV50" s="98">
        <f>RCFs!C$37</f>
        <v>17.09</v>
      </c>
      <c r="AW50" s="97">
        <f t="shared" si="80"/>
        <v>1198.8</v>
      </c>
      <c r="AX50" s="98">
        <f>RCFs!C$64</f>
        <v>17.125999999999998</v>
      </c>
      <c r="AY50" s="34">
        <f t="shared" si="81"/>
        <v>1221.5</v>
      </c>
      <c r="AZ50" s="98">
        <f>RCFs!C$39</f>
        <v>17.45</v>
      </c>
      <c r="BA50" s="34">
        <f t="shared" si="62"/>
        <v>1167.5</v>
      </c>
      <c r="BB50" s="98">
        <f>RCFs!C$41</f>
        <v>16.678999999999998</v>
      </c>
    </row>
    <row r="51" spans="1:54" s="41" customFormat="1" ht="25.5" x14ac:dyDescent="0.2">
      <c r="A51" s="57" t="s">
        <v>47</v>
      </c>
      <c r="B51" s="39" t="s">
        <v>60</v>
      </c>
      <c r="C51" s="40">
        <v>206</v>
      </c>
      <c r="D51" s="34">
        <f t="shared" si="63"/>
        <v>13180.5</v>
      </c>
      <c r="E51" s="33">
        <f>RCFs!C$43</f>
        <v>63.983120993999997</v>
      </c>
      <c r="F51" s="34">
        <f t="shared" si="64"/>
        <v>3441.8</v>
      </c>
      <c r="G51" s="98">
        <f>RCFs!C$5</f>
        <v>16.707999999999998</v>
      </c>
      <c r="H51" s="34">
        <f t="shared" si="65"/>
        <v>3441.8</v>
      </c>
      <c r="I51" s="98">
        <f t="shared" si="66"/>
        <v>16.707999999999998</v>
      </c>
      <c r="J51" s="37">
        <f t="shared" si="56"/>
        <v>3786</v>
      </c>
      <c r="K51" s="37">
        <f t="shared" si="56"/>
        <v>4715.3</v>
      </c>
      <c r="L51" s="37">
        <f t="shared" si="56"/>
        <v>5059.5</v>
      </c>
      <c r="M51" s="37">
        <f t="shared" si="56"/>
        <v>5575.8</v>
      </c>
      <c r="N51" s="37">
        <f t="shared" si="56"/>
        <v>6883.7</v>
      </c>
      <c r="O51" s="37">
        <f t="shared" si="56"/>
        <v>7400</v>
      </c>
      <c r="P51" s="37">
        <f t="shared" si="56"/>
        <v>10325.5</v>
      </c>
      <c r="Q51" s="34">
        <f t="shared" si="67"/>
        <v>3388.7</v>
      </c>
      <c r="R51" s="98">
        <f>RCFs!C$7</f>
        <v>16.45</v>
      </c>
      <c r="S51" s="37">
        <f t="shared" si="68"/>
        <v>4405.3</v>
      </c>
      <c r="T51" s="37">
        <f t="shared" si="68"/>
        <v>5083</v>
      </c>
      <c r="U51" s="34">
        <f t="shared" si="69"/>
        <v>3335.5</v>
      </c>
      <c r="V51" s="98">
        <f>RCFs!C$9</f>
        <v>16.192</v>
      </c>
      <c r="W51" s="34">
        <f t="shared" si="70"/>
        <v>3335.6</v>
      </c>
      <c r="X51" s="98">
        <f t="shared" si="71"/>
        <v>16.192</v>
      </c>
      <c r="Y51" s="37">
        <f t="shared" si="58"/>
        <v>3669.1</v>
      </c>
      <c r="Z51" s="37">
        <f t="shared" si="58"/>
        <v>4569.7</v>
      </c>
      <c r="AA51" s="37">
        <f t="shared" si="58"/>
        <v>5403.6</v>
      </c>
      <c r="AB51" s="37">
        <f t="shared" si="58"/>
        <v>4903.3</v>
      </c>
      <c r="AC51" s="37">
        <f t="shared" si="58"/>
        <v>7238.2</v>
      </c>
      <c r="AD51" s="37">
        <f t="shared" si="58"/>
        <v>10006.799999999999</v>
      </c>
      <c r="AE51" s="34">
        <f t="shared" si="72"/>
        <v>3197.1</v>
      </c>
      <c r="AF51" s="98">
        <f>RCFs!C$13</f>
        <v>15.52</v>
      </c>
      <c r="AG51" s="37">
        <f t="shared" si="60"/>
        <v>5275.2</v>
      </c>
      <c r="AH51" s="37">
        <f t="shared" si="60"/>
        <v>6713.9</v>
      </c>
      <c r="AI51" s="37">
        <f t="shared" si="60"/>
        <v>9591.2999999999993</v>
      </c>
      <c r="AJ51" s="34">
        <f t="shared" si="73"/>
        <v>0</v>
      </c>
      <c r="AK51" s="98">
        <f>RCFs!C$31</f>
        <v>0</v>
      </c>
      <c r="AL51" s="34">
        <f t="shared" si="74"/>
        <v>0</v>
      </c>
      <c r="AM51" s="98">
        <v>0</v>
      </c>
      <c r="AN51" s="34">
        <f t="shared" si="75"/>
        <v>3632.3</v>
      </c>
      <c r="AO51" s="98">
        <f>RCFs!C$33</f>
        <v>17.632999999999999</v>
      </c>
      <c r="AP51" s="37">
        <f t="shared" si="76"/>
        <v>5448.4</v>
      </c>
      <c r="AQ51" s="34">
        <f t="shared" si="77"/>
        <v>3590.5</v>
      </c>
      <c r="AR51" s="98">
        <f>RCFs!C$35</f>
        <v>17.43</v>
      </c>
      <c r="AS51" s="37">
        <f t="shared" si="78"/>
        <v>4667.6000000000004</v>
      </c>
      <c r="AT51" s="37">
        <f t="shared" si="78"/>
        <v>5206.2</v>
      </c>
      <c r="AU51" s="34">
        <f t="shared" si="79"/>
        <v>3520.5</v>
      </c>
      <c r="AV51" s="98">
        <f>RCFs!C$37</f>
        <v>17.09</v>
      </c>
      <c r="AW51" s="97">
        <f t="shared" si="80"/>
        <v>3527.9</v>
      </c>
      <c r="AX51" s="98">
        <f>RCFs!C$64</f>
        <v>17.125999999999998</v>
      </c>
      <c r="AY51" s="34">
        <f t="shared" si="81"/>
        <v>3594.7</v>
      </c>
      <c r="AZ51" s="98">
        <f>RCFs!C$39</f>
        <v>17.45</v>
      </c>
      <c r="BA51" s="34">
        <f t="shared" si="62"/>
        <v>3435.8</v>
      </c>
      <c r="BB51" s="98">
        <f>RCFs!C$41</f>
        <v>16.678999999999998</v>
      </c>
    </row>
    <row r="52" spans="1:54" s="41" customFormat="1" x14ac:dyDescent="0.2">
      <c r="A52" s="57" t="s">
        <v>39</v>
      </c>
      <c r="B52" s="39" t="s">
        <v>61</v>
      </c>
      <c r="C52" s="40">
        <v>56.63</v>
      </c>
      <c r="D52" s="34">
        <f t="shared" si="63"/>
        <v>3623.4</v>
      </c>
      <c r="E52" s="33">
        <f>RCFs!C$43</f>
        <v>63.983120993999997</v>
      </c>
      <c r="F52" s="34">
        <f t="shared" si="64"/>
        <v>946.1</v>
      </c>
      <c r="G52" s="98">
        <f>RCFs!C$5</f>
        <v>16.707999999999998</v>
      </c>
      <c r="H52" s="34">
        <f t="shared" si="65"/>
        <v>946.1</v>
      </c>
      <c r="I52" s="98">
        <f t="shared" si="66"/>
        <v>16.707999999999998</v>
      </c>
      <c r="J52" s="37">
        <f t="shared" si="56"/>
        <v>1040.8</v>
      </c>
      <c r="K52" s="37">
        <f t="shared" si="56"/>
        <v>1296.3</v>
      </c>
      <c r="L52" s="37">
        <f t="shared" si="56"/>
        <v>1390.9</v>
      </c>
      <c r="M52" s="37">
        <f t="shared" si="56"/>
        <v>1532.8</v>
      </c>
      <c r="N52" s="37">
        <f t="shared" si="56"/>
        <v>1892.3</v>
      </c>
      <c r="O52" s="37">
        <f t="shared" si="56"/>
        <v>2034.3</v>
      </c>
      <c r="P52" s="37">
        <f t="shared" si="56"/>
        <v>2838.5</v>
      </c>
      <c r="Q52" s="34">
        <f t="shared" si="67"/>
        <v>931.5</v>
      </c>
      <c r="R52" s="98">
        <f>RCFs!C$7</f>
        <v>16.45</v>
      </c>
      <c r="S52" s="37">
        <f t="shared" si="68"/>
        <v>1210.9000000000001</v>
      </c>
      <c r="T52" s="37">
        <f t="shared" si="68"/>
        <v>1397.2</v>
      </c>
      <c r="U52" s="34">
        <f t="shared" si="69"/>
        <v>916.9</v>
      </c>
      <c r="V52" s="98">
        <f>RCFs!C$9</f>
        <v>16.192</v>
      </c>
      <c r="W52" s="34">
        <f t="shared" si="70"/>
        <v>917</v>
      </c>
      <c r="X52" s="98">
        <f t="shared" si="71"/>
        <v>16.192</v>
      </c>
      <c r="Y52" s="37">
        <f t="shared" si="58"/>
        <v>1008.7</v>
      </c>
      <c r="Z52" s="37">
        <f t="shared" si="58"/>
        <v>1256.2</v>
      </c>
      <c r="AA52" s="37">
        <f t="shared" si="58"/>
        <v>1485.5</v>
      </c>
      <c r="AB52" s="37">
        <f t="shared" si="58"/>
        <v>1347.9</v>
      </c>
      <c r="AC52" s="37">
        <f t="shared" si="58"/>
        <v>1989.8</v>
      </c>
      <c r="AD52" s="37">
        <f t="shared" si="58"/>
        <v>2751</v>
      </c>
      <c r="AE52" s="34">
        <f t="shared" si="72"/>
        <v>878.9</v>
      </c>
      <c r="AF52" s="98">
        <f>RCFs!C$13</f>
        <v>15.52</v>
      </c>
      <c r="AG52" s="37">
        <f t="shared" si="60"/>
        <v>1450.2</v>
      </c>
      <c r="AH52" s="37">
        <f t="shared" si="60"/>
        <v>1845.7</v>
      </c>
      <c r="AI52" s="37">
        <f t="shared" si="60"/>
        <v>2636.7</v>
      </c>
      <c r="AJ52" s="34">
        <f t="shared" si="73"/>
        <v>0</v>
      </c>
      <c r="AK52" s="98">
        <f>RCFs!C$31</f>
        <v>0</v>
      </c>
      <c r="AL52" s="34">
        <f t="shared" si="74"/>
        <v>0</v>
      </c>
      <c r="AM52" s="98">
        <v>0</v>
      </c>
      <c r="AN52" s="34">
        <f t="shared" si="75"/>
        <v>998.5</v>
      </c>
      <c r="AO52" s="98">
        <f>RCFs!C$33</f>
        <v>17.632999999999999</v>
      </c>
      <c r="AP52" s="37">
        <f t="shared" si="76"/>
        <v>1497.7</v>
      </c>
      <c r="AQ52" s="34">
        <f t="shared" si="77"/>
        <v>987</v>
      </c>
      <c r="AR52" s="98">
        <f>RCFs!C$35</f>
        <v>17.43</v>
      </c>
      <c r="AS52" s="37">
        <f t="shared" si="78"/>
        <v>1283.0999999999999</v>
      </c>
      <c r="AT52" s="37">
        <f t="shared" si="78"/>
        <v>1431.1</v>
      </c>
      <c r="AU52" s="34">
        <f t="shared" si="79"/>
        <v>967.8</v>
      </c>
      <c r="AV52" s="98">
        <f>RCFs!C$37</f>
        <v>17.09</v>
      </c>
      <c r="AW52" s="97">
        <f t="shared" si="80"/>
        <v>969.8</v>
      </c>
      <c r="AX52" s="98">
        <f>RCFs!C$64</f>
        <v>17.125999999999998</v>
      </c>
      <c r="AY52" s="34">
        <f t="shared" si="81"/>
        <v>988.1</v>
      </c>
      <c r="AZ52" s="98">
        <f>RCFs!C$39</f>
        <v>17.45</v>
      </c>
      <c r="BA52" s="34">
        <f t="shared" si="62"/>
        <v>944.5</v>
      </c>
      <c r="BB52" s="98">
        <f>RCFs!C$41</f>
        <v>16.678999999999998</v>
      </c>
    </row>
    <row r="53" spans="1:54" s="41" customFormat="1" ht="25.5" x14ac:dyDescent="0.2">
      <c r="A53" s="57" t="s">
        <v>34</v>
      </c>
      <c r="B53" s="39" t="s">
        <v>62</v>
      </c>
      <c r="C53" s="40">
        <v>43.44</v>
      </c>
      <c r="D53" s="34">
        <f t="shared" si="63"/>
        <v>2779.4</v>
      </c>
      <c r="E53" s="33">
        <f>RCFs!C$43</f>
        <v>63.983120993999997</v>
      </c>
      <c r="F53" s="34">
        <f t="shared" si="64"/>
        <v>725.7</v>
      </c>
      <c r="G53" s="98">
        <f>RCFs!C$5</f>
        <v>16.707999999999998</v>
      </c>
      <c r="H53" s="34">
        <f t="shared" si="65"/>
        <v>725.7</v>
      </c>
      <c r="I53" s="98">
        <f t="shared" si="66"/>
        <v>16.707999999999998</v>
      </c>
      <c r="J53" s="37">
        <f t="shared" si="56"/>
        <v>798.4</v>
      </c>
      <c r="K53" s="37">
        <f t="shared" si="56"/>
        <v>994.3</v>
      </c>
      <c r="L53" s="37">
        <f t="shared" si="56"/>
        <v>1066.9000000000001</v>
      </c>
      <c r="M53" s="37">
        <f t="shared" si="56"/>
        <v>1175.8</v>
      </c>
      <c r="N53" s="37">
        <f t="shared" si="56"/>
        <v>1451.6</v>
      </c>
      <c r="O53" s="37">
        <f t="shared" si="56"/>
        <v>1560.5</v>
      </c>
      <c r="P53" s="37">
        <f t="shared" si="56"/>
        <v>2177.4</v>
      </c>
      <c r="Q53" s="34">
        <f t="shared" si="67"/>
        <v>714.5</v>
      </c>
      <c r="R53" s="98">
        <f>RCFs!C$7</f>
        <v>16.45</v>
      </c>
      <c r="S53" s="37">
        <f t="shared" si="68"/>
        <v>928.8</v>
      </c>
      <c r="T53" s="37">
        <f t="shared" si="68"/>
        <v>1071.7</v>
      </c>
      <c r="U53" s="34">
        <f t="shared" si="69"/>
        <v>703.3</v>
      </c>
      <c r="V53" s="98">
        <f>RCFs!C$9</f>
        <v>16.192</v>
      </c>
      <c r="W53" s="34">
        <f t="shared" si="70"/>
        <v>703.4</v>
      </c>
      <c r="X53" s="98">
        <f t="shared" si="71"/>
        <v>16.192</v>
      </c>
      <c r="Y53" s="37">
        <f t="shared" si="58"/>
        <v>773.7</v>
      </c>
      <c r="Z53" s="37">
        <f t="shared" si="58"/>
        <v>963.6</v>
      </c>
      <c r="AA53" s="37">
        <f t="shared" si="58"/>
        <v>1139.5</v>
      </c>
      <c r="AB53" s="37">
        <f t="shared" si="58"/>
        <v>1033.9000000000001</v>
      </c>
      <c r="AC53" s="37">
        <f t="shared" si="58"/>
        <v>1526.3</v>
      </c>
      <c r="AD53" s="37">
        <f t="shared" si="58"/>
        <v>2110.1999999999998</v>
      </c>
      <c r="AE53" s="34">
        <f t="shared" si="72"/>
        <v>674.2</v>
      </c>
      <c r="AF53" s="98">
        <f>RCFs!C$13</f>
        <v>15.52</v>
      </c>
      <c r="AG53" s="37">
        <f t="shared" si="60"/>
        <v>1112.4000000000001</v>
      </c>
      <c r="AH53" s="37">
        <f t="shared" si="60"/>
        <v>1415.8</v>
      </c>
      <c r="AI53" s="37">
        <f t="shared" si="60"/>
        <v>2022.6</v>
      </c>
      <c r="AJ53" s="34">
        <f t="shared" si="73"/>
        <v>0</v>
      </c>
      <c r="AK53" s="98">
        <f>RCFs!C$31</f>
        <v>0</v>
      </c>
      <c r="AL53" s="34">
        <f t="shared" si="74"/>
        <v>0</v>
      </c>
      <c r="AM53" s="98">
        <v>0</v>
      </c>
      <c r="AN53" s="34">
        <f t="shared" si="75"/>
        <v>765.9</v>
      </c>
      <c r="AO53" s="98">
        <f>RCFs!C$33</f>
        <v>17.632999999999999</v>
      </c>
      <c r="AP53" s="37">
        <f t="shared" si="76"/>
        <v>1148.8</v>
      </c>
      <c r="AQ53" s="34">
        <f t="shared" si="77"/>
        <v>757.1</v>
      </c>
      <c r="AR53" s="98">
        <f>RCFs!C$35</f>
        <v>17.43</v>
      </c>
      <c r="AS53" s="37">
        <f t="shared" si="78"/>
        <v>984.2</v>
      </c>
      <c r="AT53" s="37">
        <f t="shared" si="78"/>
        <v>1097.7</v>
      </c>
      <c r="AU53" s="34">
        <f t="shared" si="79"/>
        <v>742.3</v>
      </c>
      <c r="AV53" s="98">
        <f>RCFs!C$37</f>
        <v>17.09</v>
      </c>
      <c r="AW53" s="97">
        <f t="shared" si="80"/>
        <v>743.9</v>
      </c>
      <c r="AX53" s="98">
        <f>RCFs!C$64</f>
        <v>17.125999999999998</v>
      </c>
      <c r="AY53" s="34">
        <f t="shared" si="81"/>
        <v>758</v>
      </c>
      <c r="AZ53" s="98">
        <f>RCFs!C$39</f>
        <v>17.45</v>
      </c>
      <c r="BA53" s="34">
        <f t="shared" si="62"/>
        <v>724.5</v>
      </c>
      <c r="BB53" s="98">
        <f>RCFs!C$41</f>
        <v>16.678999999999998</v>
      </c>
    </row>
    <row r="54" spans="1:54" s="41" customFormat="1" ht="25.5" x14ac:dyDescent="0.2">
      <c r="A54" s="57" t="s">
        <v>31</v>
      </c>
      <c r="B54" s="39" t="s">
        <v>63</v>
      </c>
      <c r="C54" s="40">
        <v>27</v>
      </c>
      <c r="D54" s="34">
        <f t="shared" si="63"/>
        <v>1727.5</v>
      </c>
      <c r="E54" s="33">
        <f>RCFs!C$43</f>
        <v>63.983120993999997</v>
      </c>
      <c r="F54" s="34">
        <f t="shared" si="64"/>
        <v>451.1</v>
      </c>
      <c r="G54" s="98">
        <f>RCFs!C$5</f>
        <v>16.707999999999998</v>
      </c>
      <c r="H54" s="34">
        <f t="shared" si="65"/>
        <v>451.1</v>
      </c>
      <c r="I54" s="98">
        <f t="shared" si="66"/>
        <v>16.707999999999998</v>
      </c>
      <c r="J54" s="37">
        <f t="shared" ref="J54:P57" si="82">ROUND($C54*$I54*J$6,1)</f>
        <v>496.2</v>
      </c>
      <c r="K54" s="37">
        <f t="shared" si="82"/>
        <v>618</v>
      </c>
      <c r="L54" s="37">
        <f t="shared" si="82"/>
        <v>663.1</v>
      </c>
      <c r="M54" s="37">
        <f t="shared" si="82"/>
        <v>730.8</v>
      </c>
      <c r="N54" s="37">
        <f t="shared" si="82"/>
        <v>902.2</v>
      </c>
      <c r="O54" s="37">
        <f t="shared" si="82"/>
        <v>969.9</v>
      </c>
      <c r="P54" s="37">
        <f t="shared" si="82"/>
        <v>1353.3</v>
      </c>
      <c r="Q54" s="34">
        <f t="shared" si="67"/>
        <v>444.1</v>
      </c>
      <c r="R54" s="98">
        <f>RCFs!C$7</f>
        <v>16.45</v>
      </c>
      <c r="S54" s="37">
        <f t="shared" si="68"/>
        <v>577.29999999999995</v>
      </c>
      <c r="T54" s="37">
        <f t="shared" si="68"/>
        <v>666.1</v>
      </c>
      <c r="U54" s="34">
        <f t="shared" si="69"/>
        <v>437.1</v>
      </c>
      <c r="V54" s="98">
        <f>RCFs!C$9</f>
        <v>16.192</v>
      </c>
      <c r="W54" s="34">
        <f t="shared" si="70"/>
        <v>437.2</v>
      </c>
      <c r="X54" s="98">
        <f t="shared" si="71"/>
        <v>16.192</v>
      </c>
      <c r="Y54" s="37">
        <f t="shared" si="58"/>
        <v>480.9</v>
      </c>
      <c r="Z54" s="37">
        <f t="shared" si="58"/>
        <v>598.9</v>
      </c>
      <c r="AA54" s="37">
        <f t="shared" si="58"/>
        <v>708.2</v>
      </c>
      <c r="AB54" s="37">
        <f t="shared" si="58"/>
        <v>642.6</v>
      </c>
      <c r="AC54" s="37">
        <f t="shared" si="58"/>
        <v>948.7</v>
      </c>
      <c r="AD54" s="37">
        <f t="shared" si="58"/>
        <v>1311.6</v>
      </c>
      <c r="AE54" s="34">
        <f t="shared" si="72"/>
        <v>419</v>
      </c>
      <c r="AF54" s="98">
        <f>RCFs!C$13</f>
        <v>15.52</v>
      </c>
      <c r="AG54" s="37">
        <f t="shared" si="60"/>
        <v>691.4</v>
      </c>
      <c r="AH54" s="37">
        <f t="shared" si="60"/>
        <v>879.9</v>
      </c>
      <c r="AI54" s="37">
        <f t="shared" si="60"/>
        <v>1257</v>
      </c>
      <c r="AJ54" s="34">
        <f t="shared" si="73"/>
        <v>0</v>
      </c>
      <c r="AK54" s="98">
        <f>RCFs!C$31</f>
        <v>0</v>
      </c>
      <c r="AL54" s="34">
        <f t="shared" si="74"/>
        <v>0</v>
      </c>
      <c r="AM54" s="98">
        <v>0</v>
      </c>
      <c r="AN54" s="34">
        <f t="shared" si="75"/>
        <v>476</v>
      </c>
      <c r="AO54" s="98">
        <f>RCFs!C$33</f>
        <v>17.632999999999999</v>
      </c>
      <c r="AP54" s="37">
        <f t="shared" si="76"/>
        <v>714</v>
      </c>
      <c r="AQ54" s="34">
        <f t="shared" si="77"/>
        <v>470.6</v>
      </c>
      <c r="AR54" s="98">
        <f>RCFs!C$35</f>
        <v>17.43</v>
      </c>
      <c r="AS54" s="37">
        <f t="shared" si="78"/>
        <v>611.70000000000005</v>
      </c>
      <c r="AT54" s="37">
        <f t="shared" si="78"/>
        <v>682.3</v>
      </c>
      <c r="AU54" s="34">
        <f t="shared" si="79"/>
        <v>461.4</v>
      </c>
      <c r="AV54" s="98">
        <f>RCFs!C$37</f>
        <v>17.09</v>
      </c>
      <c r="AW54" s="97">
        <f t="shared" si="80"/>
        <v>462.4</v>
      </c>
      <c r="AX54" s="98">
        <f>RCFs!C$64</f>
        <v>17.125999999999998</v>
      </c>
      <c r="AY54" s="34">
        <f t="shared" si="81"/>
        <v>471.1</v>
      </c>
      <c r="AZ54" s="98">
        <f>RCFs!C$39</f>
        <v>17.45</v>
      </c>
      <c r="BA54" s="34">
        <f t="shared" si="62"/>
        <v>450.3</v>
      </c>
      <c r="BB54" s="98">
        <f>RCFs!C$41</f>
        <v>16.678999999999998</v>
      </c>
    </row>
    <row r="55" spans="1:54" s="41" customFormat="1" x14ac:dyDescent="0.2">
      <c r="A55" s="57" t="s">
        <v>38</v>
      </c>
      <c r="B55" s="39" t="s">
        <v>64</v>
      </c>
      <c r="C55" s="40">
        <v>14</v>
      </c>
      <c r="D55" s="34">
        <f t="shared" si="63"/>
        <v>895.8</v>
      </c>
      <c r="E55" s="33">
        <f>RCFs!C$43</f>
        <v>63.983120993999997</v>
      </c>
      <c r="F55" s="34">
        <f t="shared" si="64"/>
        <v>233.9</v>
      </c>
      <c r="G55" s="98">
        <f>RCFs!C$5</f>
        <v>16.707999999999998</v>
      </c>
      <c r="H55" s="34">
        <f t="shared" si="65"/>
        <v>233.9</v>
      </c>
      <c r="I55" s="98">
        <f t="shared" si="66"/>
        <v>16.707999999999998</v>
      </c>
      <c r="J55" s="37">
        <f t="shared" si="82"/>
        <v>257.3</v>
      </c>
      <c r="K55" s="37">
        <f t="shared" si="82"/>
        <v>320.5</v>
      </c>
      <c r="L55" s="37">
        <f t="shared" si="82"/>
        <v>343.9</v>
      </c>
      <c r="M55" s="37">
        <f t="shared" si="82"/>
        <v>378.9</v>
      </c>
      <c r="N55" s="37">
        <f t="shared" si="82"/>
        <v>467.8</v>
      </c>
      <c r="O55" s="37">
        <f t="shared" si="82"/>
        <v>502.9</v>
      </c>
      <c r="P55" s="37">
        <f t="shared" si="82"/>
        <v>701.7</v>
      </c>
      <c r="Q55" s="34">
        <f t="shared" si="67"/>
        <v>230.3</v>
      </c>
      <c r="R55" s="98">
        <f>RCFs!C$7</f>
        <v>16.45</v>
      </c>
      <c r="S55" s="37">
        <f t="shared" si="68"/>
        <v>299.3</v>
      </c>
      <c r="T55" s="37">
        <f t="shared" si="68"/>
        <v>345.4</v>
      </c>
      <c r="U55" s="34">
        <f t="shared" si="69"/>
        <v>226.6</v>
      </c>
      <c r="V55" s="98">
        <f>RCFs!C$9</f>
        <v>16.192</v>
      </c>
      <c r="W55" s="34">
        <f t="shared" si="70"/>
        <v>226.7</v>
      </c>
      <c r="X55" s="98">
        <f t="shared" si="71"/>
        <v>16.192</v>
      </c>
      <c r="Y55" s="37">
        <f t="shared" ref="Y55:AD57" si="83">ROUNDDOWN($W55*Y$6,1)</f>
        <v>249.3</v>
      </c>
      <c r="Z55" s="37">
        <f t="shared" si="83"/>
        <v>310.5</v>
      </c>
      <c r="AA55" s="37">
        <f t="shared" si="83"/>
        <v>367.2</v>
      </c>
      <c r="AB55" s="37">
        <f t="shared" si="83"/>
        <v>333.2</v>
      </c>
      <c r="AC55" s="37">
        <f t="shared" si="83"/>
        <v>491.9</v>
      </c>
      <c r="AD55" s="37">
        <f t="shared" si="83"/>
        <v>680.1</v>
      </c>
      <c r="AE55" s="34">
        <f t="shared" si="72"/>
        <v>217.3</v>
      </c>
      <c r="AF55" s="98">
        <f>RCFs!C$13</f>
        <v>15.52</v>
      </c>
      <c r="AG55" s="37">
        <f t="shared" si="60"/>
        <v>358.5</v>
      </c>
      <c r="AH55" s="37">
        <f t="shared" si="60"/>
        <v>456.3</v>
      </c>
      <c r="AI55" s="37">
        <f t="shared" si="60"/>
        <v>651.9</v>
      </c>
      <c r="AJ55" s="34">
        <f t="shared" si="73"/>
        <v>0</v>
      </c>
      <c r="AK55" s="98">
        <f>RCFs!C$31</f>
        <v>0</v>
      </c>
      <c r="AL55" s="34">
        <f t="shared" si="74"/>
        <v>0</v>
      </c>
      <c r="AM55" s="98">
        <v>0</v>
      </c>
      <c r="AN55" s="34">
        <f t="shared" si="75"/>
        <v>246.8</v>
      </c>
      <c r="AO55" s="98">
        <f>RCFs!C$33</f>
        <v>17.632999999999999</v>
      </c>
      <c r="AP55" s="37">
        <f t="shared" si="76"/>
        <v>370.2</v>
      </c>
      <c r="AQ55" s="34">
        <f t="shared" si="77"/>
        <v>244</v>
      </c>
      <c r="AR55" s="98">
        <f>RCFs!C$35</f>
        <v>17.43</v>
      </c>
      <c r="AS55" s="37">
        <f t="shared" si="78"/>
        <v>317.2</v>
      </c>
      <c r="AT55" s="37">
        <f t="shared" si="78"/>
        <v>353.8</v>
      </c>
      <c r="AU55" s="34">
        <f t="shared" si="79"/>
        <v>239.2</v>
      </c>
      <c r="AV55" s="98">
        <f>RCFs!C$37</f>
        <v>17.09</v>
      </c>
      <c r="AW55" s="97">
        <f t="shared" si="80"/>
        <v>239.7</v>
      </c>
      <c r="AX55" s="98">
        <f>RCFs!C$64</f>
        <v>17.125999999999998</v>
      </c>
      <c r="AY55" s="34">
        <f t="shared" si="81"/>
        <v>244.3</v>
      </c>
      <c r="AZ55" s="98">
        <f>RCFs!C$39</f>
        <v>17.45</v>
      </c>
      <c r="BA55" s="34">
        <f t="shared" si="62"/>
        <v>233.5</v>
      </c>
      <c r="BB55" s="98">
        <f>RCFs!C$41</f>
        <v>16.678999999999998</v>
      </c>
    </row>
    <row r="56" spans="1:54" s="41" customFormat="1" x14ac:dyDescent="0.2">
      <c r="A56" s="57" t="s">
        <v>45</v>
      </c>
      <c r="B56" s="39" t="s">
        <v>65</v>
      </c>
      <c r="C56" s="40">
        <v>283.89999999999998</v>
      </c>
      <c r="D56" s="34">
        <f t="shared" si="63"/>
        <v>18164.8</v>
      </c>
      <c r="E56" s="33">
        <f>RCFs!C$43</f>
        <v>63.983120993999997</v>
      </c>
      <c r="F56" s="34">
        <f t="shared" si="64"/>
        <v>4743.3999999999996</v>
      </c>
      <c r="G56" s="98">
        <f>RCFs!C$5</f>
        <v>16.707999999999998</v>
      </c>
      <c r="H56" s="34">
        <f t="shared" si="65"/>
        <v>4743.3999999999996</v>
      </c>
      <c r="I56" s="98">
        <f t="shared" si="66"/>
        <v>16.707999999999998</v>
      </c>
      <c r="J56" s="37">
        <f t="shared" si="82"/>
        <v>5217.7</v>
      </c>
      <c r="K56" s="37">
        <f t="shared" si="82"/>
        <v>6498.5</v>
      </c>
      <c r="L56" s="37">
        <f t="shared" si="82"/>
        <v>6972.8</v>
      </c>
      <c r="M56" s="37">
        <f t="shared" si="82"/>
        <v>7684.3</v>
      </c>
      <c r="N56" s="37">
        <f t="shared" si="82"/>
        <v>9486.7999999999993</v>
      </c>
      <c r="O56" s="37">
        <f t="shared" si="82"/>
        <v>10198.299999999999</v>
      </c>
      <c r="P56" s="37">
        <f t="shared" si="82"/>
        <v>14230.2</v>
      </c>
      <c r="Q56" s="34">
        <f t="shared" si="67"/>
        <v>4670.1000000000004</v>
      </c>
      <c r="R56" s="98">
        <f>RCFs!C$7</f>
        <v>16.45</v>
      </c>
      <c r="S56" s="37">
        <f t="shared" si="68"/>
        <v>6071.1</v>
      </c>
      <c r="T56" s="37">
        <f t="shared" si="68"/>
        <v>7005.1</v>
      </c>
      <c r="U56" s="34">
        <f t="shared" si="69"/>
        <v>4596.8999999999996</v>
      </c>
      <c r="V56" s="98">
        <f>RCFs!C$9</f>
        <v>16.192</v>
      </c>
      <c r="W56" s="34">
        <f t="shared" si="70"/>
        <v>4596.8999999999996</v>
      </c>
      <c r="X56" s="98">
        <f t="shared" si="71"/>
        <v>16.192</v>
      </c>
      <c r="Y56" s="37">
        <f t="shared" si="83"/>
        <v>5056.5</v>
      </c>
      <c r="Z56" s="37">
        <f t="shared" si="83"/>
        <v>6297.7</v>
      </c>
      <c r="AA56" s="37">
        <f t="shared" si="83"/>
        <v>7446.9</v>
      </c>
      <c r="AB56" s="37">
        <f t="shared" si="83"/>
        <v>6757.4</v>
      </c>
      <c r="AC56" s="37">
        <f t="shared" si="83"/>
        <v>9975.2000000000007</v>
      </c>
      <c r="AD56" s="37">
        <f t="shared" si="83"/>
        <v>13790.7</v>
      </c>
      <c r="AE56" s="34">
        <f t="shared" si="72"/>
        <v>4406.1000000000004</v>
      </c>
      <c r="AF56" s="98">
        <f>RCFs!C$13</f>
        <v>15.52</v>
      </c>
      <c r="AG56" s="37">
        <f t="shared" si="60"/>
        <v>7270.1</v>
      </c>
      <c r="AH56" s="37">
        <f t="shared" si="60"/>
        <v>9252.7999999999993</v>
      </c>
      <c r="AI56" s="37">
        <f t="shared" si="60"/>
        <v>13218.3</v>
      </c>
      <c r="AJ56" s="34">
        <f t="shared" si="73"/>
        <v>0</v>
      </c>
      <c r="AK56" s="98">
        <f>RCFs!C$31</f>
        <v>0</v>
      </c>
      <c r="AL56" s="34">
        <f t="shared" si="74"/>
        <v>0</v>
      </c>
      <c r="AM56" s="98">
        <v>0</v>
      </c>
      <c r="AN56" s="34">
        <f t="shared" si="75"/>
        <v>5006</v>
      </c>
      <c r="AO56" s="98">
        <f>RCFs!C$33</f>
        <v>17.632999999999999</v>
      </c>
      <c r="AP56" s="37">
        <f t="shared" si="76"/>
        <v>7509</v>
      </c>
      <c r="AQ56" s="34">
        <f t="shared" si="77"/>
        <v>4948.3</v>
      </c>
      <c r="AR56" s="98">
        <f>RCFs!C$35</f>
        <v>17.43</v>
      </c>
      <c r="AS56" s="37">
        <f t="shared" si="78"/>
        <v>6432.7</v>
      </c>
      <c r="AT56" s="37">
        <f t="shared" si="78"/>
        <v>7175</v>
      </c>
      <c r="AU56" s="34">
        <f t="shared" si="79"/>
        <v>4851.8</v>
      </c>
      <c r="AV56" s="98">
        <f>RCFs!C$37</f>
        <v>17.09</v>
      </c>
      <c r="AW56" s="97">
        <f t="shared" si="80"/>
        <v>4862</v>
      </c>
      <c r="AX56" s="98">
        <f>RCFs!C$64</f>
        <v>17.125999999999998</v>
      </c>
      <c r="AY56" s="34">
        <f t="shared" si="81"/>
        <v>4954</v>
      </c>
      <c r="AZ56" s="98">
        <f>RCFs!C$39</f>
        <v>17.45</v>
      </c>
      <c r="BA56" s="34">
        <f t="shared" si="62"/>
        <v>4735.1000000000004</v>
      </c>
      <c r="BB56" s="98">
        <f>RCFs!C$41</f>
        <v>16.678999999999998</v>
      </c>
    </row>
    <row r="57" spans="1:54" ht="25.5" x14ac:dyDescent="0.2">
      <c r="A57" s="57" t="s">
        <v>40</v>
      </c>
      <c r="B57" s="39" t="s">
        <v>66</v>
      </c>
      <c r="C57" s="40">
        <v>55</v>
      </c>
      <c r="D57" s="34">
        <f t="shared" si="63"/>
        <v>3519.1</v>
      </c>
      <c r="E57" s="33">
        <f>RCFs!C$43</f>
        <v>63.983120993999997</v>
      </c>
      <c r="F57" s="34">
        <f t="shared" si="64"/>
        <v>918.9</v>
      </c>
      <c r="G57" s="98">
        <f>RCFs!C$5</f>
        <v>16.707999999999998</v>
      </c>
      <c r="H57" s="34">
        <f t="shared" si="65"/>
        <v>918.9</v>
      </c>
      <c r="I57" s="98">
        <f t="shared" si="66"/>
        <v>16.707999999999998</v>
      </c>
      <c r="J57" s="37">
        <f t="shared" si="82"/>
        <v>1010.8</v>
      </c>
      <c r="K57" s="37">
        <f t="shared" si="82"/>
        <v>1258.9000000000001</v>
      </c>
      <c r="L57" s="37">
        <f t="shared" si="82"/>
        <v>1350.8</v>
      </c>
      <c r="M57" s="37">
        <f t="shared" si="82"/>
        <v>1488.7</v>
      </c>
      <c r="N57" s="37">
        <f t="shared" si="82"/>
        <v>1837.9</v>
      </c>
      <c r="O57" s="37">
        <f t="shared" si="82"/>
        <v>1975.7</v>
      </c>
      <c r="P57" s="37">
        <f t="shared" si="82"/>
        <v>2756.8</v>
      </c>
      <c r="Q57" s="34">
        <f t="shared" si="67"/>
        <v>904.7</v>
      </c>
      <c r="R57" s="98">
        <f>RCFs!C$7</f>
        <v>16.45</v>
      </c>
      <c r="S57" s="37">
        <f t="shared" si="68"/>
        <v>1176.0999999999999</v>
      </c>
      <c r="T57" s="37">
        <f t="shared" si="68"/>
        <v>1357</v>
      </c>
      <c r="U57" s="34">
        <f t="shared" si="69"/>
        <v>890.5</v>
      </c>
      <c r="V57" s="98">
        <f>RCFs!C$9</f>
        <v>16.192</v>
      </c>
      <c r="W57" s="34">
        <f t="shared" si="70"/>
        <v>890.6</v>
      </c>
      <c r="X57" s="98">
        <f t="shared" si="71"/>
        <v>16.192</v>
      </c>
      <c r="Y57" s="37">
        <f t="shared" si="83"/>
        <v>979.6</v>
      </c>
      <c r="Z57" s="37">
        <f t="shared" si="83"/>
        <v>1220.0999999999999</v>
      </c>
      <c r="AA57" s="37">
        <f t="shared" si="83"/>
        <v>1442.7</v>
      </c>
      <c r="AB57" s="37">
        <f t="shared" si="83"/>
        <v>1309.0999999999999</v>
      </c>
      <c r="AC57" s="37">
        <f t="shared" si="83"/>
        <v>1932.6</v>
      </c>
      <c r="AD57" s="37">
        <f t="shared" si="83"/>
        <v>2671.8</v>
      </c>
      <c r="AE57" s="34">
        <f t="shared" si="72"/>
        <v>853.6</v>
      </c>
      <c r="AF57" s="98">
        <f>RCFs!C$13</f>
        <v>15.52</v>
      </c>
      <c r="AG57" s="37">
        <f t="shared" si="60"/>
        <v>1408.4</v>
      </c>
      <c r="AH57" s="37">
        <f t="shared" si="60"/>
        <v>1792.6</v>
      </c>
      <c r="AI57" s="37">
        <f t="shared" si="60"/>
        <v>2560.8000000000002</v>
      </c>
      <c r="AJ57" s="34">
        <f t="shared" si="73"/>
        <v>0</v>
      </c>
      <c r="AK57" s="98">
        <f>RCFs!C$31</f>
        <v>0</v>
      </c>
      <c r="AL57" s="34">
        <f t="shared" si="74"/>
        <v>0</v>
      </c>
      <c r="AM57" s="98">
        <v>0</v>
      </c>
      <c r="AN57" s="34">
        <f t="shared" si="75"/>
        <v>969.8</v>
      </c>
      <c r="AO57" s="98">
        <f>RCFs!C$33</f>
        <v>17.632999999999999</v>
      </c>
      <c r="AP57" s="37">
        <f t="shared" si="76"/>
        <v>1454.7</v>
      </c>
      <c r="AQ57" s="34">
        <f t="shared" si="77"/>
        <v>958.6</v>
      </c>
      <c r="AR57" s="98">
        <f>RCFs!C$35</f>
        <v>17.43</v>
      </c>
      <c r="AS57" s="37">
        <f t="shared" si="78"/>
        <v>1246.0999999999999</v>
      </c>
      <c r="AT57" s="37">
        <f t="shared" si="78"/>
        <v>1389.9</v>
      </c>
      <c r="AU57" s="34">
        <f t="shared" si="79"/>
        <v>939.9</v>
      </c>
      <c r="AV57" s="98">
        <f>RCFs!C$37</f>
        <v>17.09</v>
      </c>
      <c r="AW57" s="97">
        <f t="shared" si="80"/>
        <v>941.9</v>
      </c>
      <c r="AX57" s="98">
        <f>RCFs!C$64</f>
        <v>17.125999999999998</v>
      </c>
      <c r="AY57" s="34">
        <f t="shared" si="81"/>
        <v>959.7</v>
      </c>
      <c r="AZ57" s="98">
        <f>RCFs!C$39</f>
        <v>17.45</v>
      </c>
      <c r="BA57" s="34">
        <f t="shared" si="62"/>
        <v>917.3</v>
      </c>
      <c r="BB57" s="98">
        <f>RCFs!C$41</f>
        <v>16.678999999999998</v>
      </c>
    </row>
    <row r="58" spans="1:54" x14ac:dyDescent="0.2">
      <c r="A58" s="58"/>
      <c r="B58" s="59"/>
      <c r="C58" s="60"/>
      <c r="D58" s="61"/>
      <c r="E58" s="62"/>
      <c r="F58" s="61"/>
      <c r="G58" s="62"/>
      <c r="H58" s="61"/>
      <c r="I58" s="62"/>
      <c r="J58" s="64"/>
      <c r="K58" s="64"/>
      <c r="L58" s="64"/>
      <c r="M58" s="64"/>
      <c r="N58" s="64"/>
      <c r="O58" s="64"/>
      <c r="P58" s="64"/>
      <c r="Q58" s="61"/>
      <c r="R58" s="62"/>
      <c r="S58" s="64"/>
      <c r="T58" s="64"/>
      <c r="U58" s="61"/>
      <c r="V58" s="62"/>
      <c r="W58" s="61"/>
      <c r="X58" s="62"/>
      <c r="Y58" s="63"/>
      <c r="Z58" s="63"/>
      <c r="AA58" s="63"/>
      <c r="AB58" s="63"/>
      <c r="AC58" s="63"/>
      <c r="AD58" s="63"/>
      <c r="AE58" s="61"/>
      <c r="AF58" s="62"/>
      <c r="AG58" s="64"/>
      <c r="AH58" s="64"/>
      <c r="AI58" s="64"/>
      <c r="AJ58" s="61"/>
      <c r="AK58" s="62"/>
      <c r="AL58" s="61"/>
      <c r="AM58" s="62"/>
      <c r="AN58" s="61"/>
      <c r="AO58" s="62"/>
      <c r="AP58" s="64"/>
      <c r="AQ58" s="61"/>
      <c r="AR58" s="62"/>
      <c r="AS58" s="64"/>
      <c r="AT58" s="64"/>
      <c r="AU58" s="61"/>
      <c r="AV58" s="62"/>
      <c r="AW58" s="61"/>
      <c r="AX58" s="62"/>
      <c r="AY58" s="61"/>
      <c r="AZ58" s="62"/>
      <c r="BA58" s="61"/>
      <c r="BB58" s="62"/>
    </row>
    <row r="59" spans="1:54" x14ac:dyDescent="0.2">
      <c r="A59" s="230" t="s">
        <v>196</v>
      </c>
      <c r="B59" s="231"/>
      <c r="C59" s="231"/>
      <c r="D59" s="231"/>
      <c r="E59" s="232"/>
      <c r="F59" s="232"/>
      <c r="G59" s="232"/>
      <c r="H59" s="233"/>
      <c r="I59" s="232"/>
      <c r="J59" s="234"/>
      <c r="K59" s="234"/>
      <c r="L59" s="234"/>
      <c r="M59" s="234"/>
      <c r="N59" s="234"/>
      <c r="O59" s="234"/>
      <c r="P59" s="234"/>
      <c r="Q59" s="233"/>
      <c r="R59" s="232"/>
      <c r="S59" s="234"/>
      <c r="T59" s="234"/>
      <c r="U59" s="235"/>
      <c r="V59" s="236"/>
      <c r="W59" s="235"/>
      <c r="X59" s="236"/>
      <c r="Y59" s="231"/>
      <c r="Z59" s="231"/>
      <c r="AA59" s="231"/>
      <c r="AB59" s="231"/>
      <c r="AC59" s="231"/>
      <c r="AD59" s="231"/>
      <c r="AE59" s="233"/>
      <c r="AF59" s="233"/>
      <c r="AG59" s="233"/>
      <c r="AH59" s="233"/>
      <c r="AI59" s="233"/>
      <c r="AJ59" s="231"/>
      <c r="AK59" s="236"/>
      <c r="AL59" s="231"/>
      <c r="AM59" s="236"/>
      <c r="AN59" s="237"/>
      <c r="AO59" s="234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7"/>
      <c r="BB59" s="238"/>
    </row>
    <row r="60" spans="1:54" x14ac:dyDescent="0.2">
      <c r="A60" s="195" t="s">
        <v>75</v>
      </c>
      <c r="B60" s="65"/>
      <c r="C60" s="66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7"/>
      <c r="V60" s="68"/>
      <c r="W60" s="67"/>
      <c r="X60" s="68"/>
      <c r="Y60" s="65"/>
      <c r="Z60" s="65"/>
      <c r="AA60" s="65"/>
      <c r="AB60" s="65"/>
      <c r="AC60" s="65"/>
      <c r="AD60" s="65"/>
      <c r="AE60" s="67"/>
      <c r="AF60" s="68"/>
      <c r="AG60" s="68"/>
      <c r="AH60" s="68"/>
      <c r="AI60" s="68"/>
      <c r="AJ60" s="67"/>
      <c r="AK60" s="68"/>
      <c r="AL60" s="67"/>
      <c r="AM60" s="68"/>
      <c r="AN60" s="67"/>
      <c r="AO60" s="68"/>
      <c r="AP60" s="68"/>
      <c r="AQ60" s="67"/>
      <c r="AR60" s="68"/>
      <c r="AS60" s="68"/>
      <c r="AT60" s="68"/>
      <c r="AU60" s="67"/>
      <c r="AV60" s="68"/>
      <c r="AW60" s="67"/>
      <c r="AX60" s="68"/>
      <c r="AY60" s="67"/>
      <c r="AZ60" s="68"/>
      <c r="BA60" s="68"/>
      <c r="BB60" s="69"/>
    </row>
    <row r="61" spans="1:54" x14ac:dyDescent="0.2">
      <c r="A61" s="214" t="s">
        <v>158</v>
      </c>
      <c r="B61" s="197"/>
      <c r="C61" s="197"/>
      <c r="D61" s="197"/>
      <c r="E61" s="197"/>
      <c r="F61" s="198"/>
      <c r="G61" s="198"/>
      <c r="H61" s="198"/>
      <c r="I61" s="198"/>
      <c r="J61" s="199"/>
      <c r="K61" s="199"/>
      <c r="L61" s="199"/>
      <c r="M61" s="199"/>
      <c r="N61" s="199"/>
      <c r="O61" s="199"/>
      <c r="P61" s="199"/>
      <c r="Q61" s="198"/>
      <c r="R61" s="198"/>
      <c r="S61" s="199"/>
      <c r="T61" s="199"/>
      <c r="U61" s="198"/>
      <c r="V61" s="198"/>
      <c r="W61" s="198"/>
      <c r="X61" s="198"/>
      <c r="Y61" s="70"/>
      <c r="Z61" s="70"/>
      <c r="AA61" s="70"/>
      <c r="AB61" s="70"/>
      <c r="AC61" s="70"/>
      <c r="AD61" s="70"/>
      <c r="AE61" s="198"/>
      <c r="AF61" s="198"/>
      <c r="AG61" s="72"/>
      <c r="AH61" s="72"/>
      <c r="AI61" s="72"/>
      <c r="AJ61" s="198"/>
      <c r="AK61" s="198"/>
      <c r="AL61" s="198"/>
      <c r="AM61" s="198"/>
      <c r="AN61" s="128"/>
      <c r="AO61" s="198"/>
      <c r="AP61" s="72"/>
      <c r="AQ61" s="128"/>
      <c r="AR61" s="198"/>
      <c r="AS61" s="72"/>
      <c r="AT61" s="72"/>
      <c r="AU61" s="128"/>
      <c r="AV61" s="198"/>
      <c r="AW61" s="241"/>
      <c r="AX61" s="198"/>
      <c r="AY61" s="128"/>
      <c r="AZ61" s="129"/>
      <c r="BA61" s="198"/>
      <c r="BB61" s="130"/>
    </row>
    <row r="62" spans="1:54" x14ac:dyDescent="0.2">
      <c r="A62" s="131" t="s">
        <v>203</v>
      </c>
      <c r="B62" s="197"/>
      <c r="C62" s="197"/>
      <c r="D62" s="197"/>
      <c r="E62" s="197"/>
      <c r="F62" s="198"/>
      <c r="G62" s="198"/>
      <c r="H62" s="198"/>
      <c r="I62" s="198"/>
      <c r="J62" s="199"/>
      <c r="K62" s="199"/>
      <c r="L62" s="199"/>
      <c r="M62" s="199"/>
      <c r="N62" s="199"/>
      <c r="O62" s="199"/>
      <c r="P62" s="199"/>
      <c r="Q62" s="198"/>
      <c r="R62" s="198"/>
      <c r="S62" s="199"/>
      <c r="T62" s="199"/>
      <c r="U62" s="198"/>
      <c r="V62" s="198"/>
      <c r="W62" s="198"/>
      <c r="X62" s="198"/>
      <c r="Y62" s="70"/>
      <c r="Z62" s="70"/>
      <c r="AA62" s="70"/>
      <c r="AB62" s="70"/>
      <c r="AC62" s="70"/>
      <c r="AD62" s="70"/>
      <c r="AE62" s="198"/>
      <c r="AF62" s="198"/>
      <c r="AG62" s="72"/>
      <c r="AH62" s="72"/>
      <c r="AI62" s="72"/>
      <c r="AJ62" s="198"/>
      <c r="AK62" s="198"/>
      <c r="AL62" s="198"/>
      <c r="AM62" s="198"/>
      <c r="AN62" s="128"/>
      <c r="AO62" s="198"/>
      <c r="AP62" s="72"/>
      <c r="AQ62" s="128"/>
      <c r="AR62" s="198"/>
      <c r="AS62" s="72"/>
      <c r="AT62" s="72"/>
      <c r="AU62" s="128"/>
      <c r="AV62" s="198"/>
      <c r="AW62" s="241"/>
      <c r="AX62" s="198"/>
      <c r="AY62" s="128"/>
      <c r="AZ62" s="129"/>
      <c r="BA62" s="198"/>
      <c r="BB62" s="130"/>
    </row>
    <row r="63" spans="1:54" x14ac:dyDescent="0.2">
      <c r="A63" s="215" t="s">
        <v>182</v>
      </c>
      <c r="B63" s="198"/>
      <c r="C63" s="70"/>
      <c r="D63" s="71"/>
      <c r="E63" s="72"/>
      <c r="F63" s="72"/>
      <c r="G63" s="72"/>
      <c r="H63" s="72"/>
      <c r="I63" s="72"/>
      <c r="J63" s="199"/>
      <c r="K63" s="199"/>
      <c r="L63" s="199"/>
      <c r="M63" s="199"/>
      <c r="N63" s="199"/>
      <c r="O63" s="199"/>
      <c r="P63" s="199"/>
      <c r="Q63" s="72"/>
      <c r="R63" s="72"/>
      <c r="S63" s="199"/>
      <c r="T63" s="199"/>
      <c r="U63" s="71"/>
      <c r="V63" s="72"/>
      <c r="W63" s="71"/>
      <c r="X63" s="72"/>
      <c r="Y63" s="70"/>
      <c r="Z63" s="70"/>
      <c r="AA63" s="70"/>
      <c r="AB63" s="70"/>
      <c r="AC63" s="70"/>
      <c r="AD63" s="70"/>
      <c r="AE63" s="71"/>
      <c r="AF63" s="72"/>
      <c r="AG63" s="72"/>
      <c r="AH63" s="72"/>
      <c r="AI63" s="72"/>
      <c r="AJ63" s="71"/>
      <c r="AK63" s="72"/>
      <c r="AL63" s="71"/>
      <c r="AM63" s="72"/>
      <c r="AN63" s="71"/>
      <c r="AO63" s="72"/>
      <c r="AP63" s="72"/>
      <c r="AQ63" s="71"/>
      <c r="AR63" s="72"/>
      <c r="AS63" s="72"/>
      <c r="AT63" s="72"/>
      <c r="AU63" s="71"/>
      <c r="AV63" s="72"/>
      <c r="AW63" s="71"/>
      <c r="AX63" s="72"/>
      <c r="AY63" s="71"/>
      <c r="AZ63" s="72"/>
      <c r="BA63" s="72"/>
      <c r="BB63" s="73"/>
    </row>
    <row r="64" spans="1:54" x14ac:dyDescent="0.2">
      <c r="A64" s="196" t="s">
        <v>183</v>
      </c>
      <c r="B64" s="198"/>
      <c r="C64" s="70"/>
      <c r="D64" s="71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1"/>
      <c r="V64" s="72"/>
      <c r="W64" s="71"/>
      <c r="X64" s="72"/>
      <c r="Y64" s="70"/>
      <c r="Z64" s="70"/>
      <c r="AA64" s="70"/>
      <c r="AB64" s="70"/>
      <c r="AC64" s="70"/>
      <c r="AD64" s="70"/>
      <c r="AE64" s="71"/>
      <c r="AF64" s="72"/>
      <c r="AG64" s="72"/>
      <c r="AH64" s="72"/>
      <c r="AI64" s="72"/>
      <c r="AJ64" s="71"/>
      <c r="AK64" s="72"/>
      <c r="AL64" s="71"/>
      <c r="AM64" s="72"/>
      <c r="AN64" s="71"/>
      <c r="AO64" s="72"/>
      <c r="AP64" s="72"/>
      <c r="AQ64" s="71"/>
      <c r="AR64" s="72"/>
      <c r="AS64" s="72"/>
      <c r="AT64" s="72"/>
      <c r="AU64" s="71"/>
      <c r="AV64" s="72"/>
      <c r="AW64" s="71"/>
      <c r="AX64" s="72"/>
      <c r="AY64" s="71"/>
      <c r="AZ64" s="72"/>
      <c r="BA64" s="72"/>
      <c r="BB64" s="73"/>
    </row>
    <row r="65" spans="1:54" x14ac:dyDescent="0.2">
      <c r="A65" s="214" t="s">
        <v>204</v>
      </c>
      <c r="B65" s="198"/>
      <c r="C65" s="70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1"/>
      <c r="V65" s="72"/>
      <c r="W65" s="71"/>
      <c r="X65" s="72"/>
      <c r="Y65" s="70"/>
      <c r="Z65" s="70"/>
      <c r="AA65" s="70"/>
      <c r="AB65" s="70"/>
      <c r="AC65" s="70"/>
      <c r="AD65" s="70"/>
      <c r="AE65" s="71"/>
      <c r="AF65" s="72"/>
      <c r="AG65" s="72"/>
      <c r="AH65" s="72"/>
      <c r="AI65" s="72"/>
      <c r="AJ65" s="71"/>
      <c r="AK65" s="72"/>
      <c r="AL65" s="71"/>
      <c r="AM65" s="72"/>
      <c r="AN65" s="71"/>
      <c r="AO65" s="72"/>
      <c r="AP65" s="72"/>
      <c r="AQ65" s="71"/>
      <c r="AR65" s="72"/>
      <c r="AS65" s="72"/>
      <c r="AT65" s="72"/>
      <c r="AU65" s="71"/>
      <c r="AV65" s="72"/>
      <c r="AW65" s="71"/>
      <c r="AX65" s="72"/>
      <c r="AY65" s="71"/>
      <c r="AZ65" s="72"/>
      <c r="BA65" s="72"/>
      <c r="BB65" s="73"/>
    </row>
    <row r="66" spans="1:54" x14ac:dyDescent="0.2">
      <c r="A66" s="216" t="s">
        <v>197</v>
      </c>
      <c r="B66" s="198"/>
      <c r="C66" s="70"/>
      <c r="D66" s="71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1"/>
      <c r="V66" s="72"/>
      <c r="W66" s="71"/>
      <c r="X66" s="72"/>
      <c r="Y66" s="70"/>
      <c r="Z66" s="70"/>
      <c r="AA66" s="70"/>
      <c r="AB66" s="70"/>
      <c r="AC66" s="70"/>
      <c r="AD66" s="70"/>
      <c r="AE66" s="71"/>
      <c r="AF66" s="72"/>
      <c r="AG66" s="72"/>
      <c r="AH66" s="72"/>
      <c r="AI66" s="72"/>
      <c r="AJ66" s="71"/>
      <c r="AK66" s="72"/>
      <c r="AL66" s="71"/>
      <c r="AM66" s="72"/>
      <c r="AN66" s="71"/>
      <c r="AO66" s="72"/>
      <c r="AP66" s="72"/>
      <c r="AQ66" s="71"/>
      <c r="AR66" s="72"/>
      <c r="AS66" s="72"/>
      <c r="AT66" s="72"/>
      <c r="AU66" s="71"/>
      <c r="AV66" s="72"/>
      <c r="AW66" s="71"/>
      <c r="AX66" s="72"/>
      <c r="AY66" s="71"/>
      <c r="AZ66" s="72"/>
      <c r="BA66" s="72"/>
      <c r="BB66" s="73"/>
    </row>
    <row r="67" spans="1:54" x14ac:dyDescent="0.2">
      <c r="A67" s="217" t="s">
        <v>198</v>
      </c>
      <c r="B67" s="198"/>
      <c r="C67" s="70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1"/>
      <c r="V67" s="72"/>
      <c r="W67" s="71"/>
      <c r="X67" s="72"/>
      <c r="Y67" s="70"/>
      <c r="Z67" s="70"/>
      <c r="AA67" s="70"/>
      <c r="AB67" s="70"/>
      <c r="AC67" s="70"/>
      <c r="AD67" s="70"/>
      <c r="AE67" s="71"/>
      <c r="AF67" s="72"/>
      <c r="AG67" s="72"/>
      <c r="AH67" s="72"/>
      <c r="AI67" s="72"/>
      <c r="AJ67" s="71"/>
      <c r="AK67" s="72"/>
      <c r="AL67" s="71"/>
      <c r="AM67" s="72"/>
      <c r="AN67" s="71"/>
      <c r="AO67" s="72"/>
      <c r="AP67" s="72"/>
      <c r="AQ67" s="71"/>
      <c r="AR67" s="72"/>
      <c r="AS67" s="72"/>
      <c r="AT67" s="72"/>
      <c r="AU67" s="71"/>
      <c r="AV67" s="72"/>
      <c r="AW67" s="71"/>
      <c r="AX67" s="72"/>
      <c r="AY67" s="71"/>
      <c r="AZ67" s="72"/>
      <c r="BA67" s="72"/>
      <c r="BB67" s="73"/>
    </row>
    <row r="68" spans="1:54" x14ac:dyDescent="0.2">
      <c r="A68" s="216" t="s">
        <v>199</v>
      </c>
      <c r="B68" s="198"/>
      <c r="C68" s="70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1"/>
      <c r="V68" s="72"/>
      <c r="W68" s="71"/>
      <c r="X68" s="72"/>
      <c r="Y68" s="70"/>
      <c r="Z68" s="70"/>
      <c r="AA68" s="70"/>
      <c r="AB68" s="70"/>
      <c r="AC68" s="70"/>
      <c r="AD68" s="70"/>
      <c r="AE68" s="71"/>
      <c r="AF68" s="72"/>
      <c r="AG68" s="72"/>
      <c r="AH68" s="72"/>
      <c r="AI68" s="72"/>
      <c r="AJ68" s="71"/>
      <c r="AK68" s="72"/>
      <c r="AL68" s="71"/>
      <c r="AM68" s="72"/>
      <c r="AN68" s="71"/>
      <c r="AO68" s="72"/>
      <c r="AP68" s="72"/>
      <c r="AQ68" s="71"/>
      <c r="AR68" s="72"/>
      <c r="AS68" s="72"/>
      <c r="AT68" s="72"/>
      <c r="AU68" s="71"/>
      <c r="AV68" s="72"/>
      <c r="AW68" s="71"/>
      <c r="AX68" s="72"/>
      <c r="AY68" s="71"/>
      <c r="AZ68" s="72"/>
      <c r="BA68" s="72"/>
      <c r="BB68" s="73"/>
    </row>
    <row r="69" spans="1:54" x14ac:dyDescent="0.2">
      <c r="A69" s="218" t="s">
        <v>205</v>
      </c>
      <c r="B69" s="198"/>
      <c r="C69" s="70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1"/>
      <c r="V69" s="72"/>
      <c r="W69" s="71"/>
      <c r="X69" s="72"/>
      <c r="Y69" s="70"/>
      <c r="Z69" s="70"/>
      <c r="AA69" s="70"/>
      <c r="AB69" s="70"/>
      <c r="AC69" s="70"/>
      <c r="AD69" s="70"/>
      <c r="AE69" s="71"/>
      <c r="AF69" s="72"/>
      <c r="AG69" s="72"/>
      <c r="AH69" s="72"/>
      <c r="AI69" s="72"/>
      <c r="AJ69" s="71"/>
      <c r="AK69" s="72"/>
      <c r="AL69" s="71"/>
      <c r="AM69" s="72"/>
      <c r="AN69" s="71"/>
      <c r="AO69" s="72"/>
      <c r="AP69" s="72"/>
      <c r="AQ69" s="71"/>
      <c r="AR69" s="72"/>
      <c r="AS69" s="72"/>
      <c r="AT69" s="72"/>
      <c r="AU69" s="71"/>
      <c r="AV69" s="72"/>
      <c r="AW69" s="71"/>
      <c r="AX69" s="72"/>
      <c r="AY69" s="71"/>
      <c r="AZ69" s="72"/>
      <c r="BA69" s="72"/>
      <c r="BB69" s="73"/>
    </row>
    <row r="70" spans="1:54" x14ac:dyDescent="0.2">
      <c r="A70" s="214" t="s">
        <v>184</v>
      </c>
      <c r="B70" s="198"/>
      <c r="C70" s="70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1"/>
      <c r="V70" s="72"/>
      <c r="W70" s="71"/>
      <c r="X70" s="72"/>
      <c r="Y70" s="70"/>
      <c r="Z70" s="70"/>
      <c r="AA70" s="70"/>
      <c r="AB70" s="70"/>
      <c r="AC70" s="70"/>
      <c r="AD70" s="70"/>
      <c r="AE70" s="71"/>
      <c r="AF70" s="72"/>
      <c r="AG70" s="72"/>
      <c r="AH70" s="72"/>
      <c r="AI70" s="72"/>
      <c r="AJ70" s="71"/>
      <c r="AK70" s="72"/>
      <c r="AL70" s="71"/>
      <c r="AM70" s="72"/>
      <c r="AN70" s="71"/>
      <c r="AO70" s="72"/>
      <c r="AP70" s="72"/>
      <c r="AQ70" s="71"/>
      <c r="AR70" s="72"/>
      <c r="AS70" s="72"/>
      <c r="AT70" s="72"/>
      <c r="AU70" s="71"/>
      <c r="AV70" s="72"/>
      <c r="AW70" s="71"/>
      <c r="AX70" s="72"/>
      <c r="AY70" s="71"/>
      <c r="AZ70" s="72"/>
      <c r="BA70" s="72"/>
      <c r="BB70" s="73"/>
    </row>
    <row r="71" spans="1:54" x14ac:dyDescent="0.2">
      <c r="A71" s="196" t="s">
        <v>185</v>
      </c>
      <c r="B71" s="198"/>
      <c r="C71" s="70"/>
      <c r="D71" s="71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1"/>
      <c r="V71" s="72"/>
      <c r="W71" s="71"/>
      <c r="X71" s="72"/>
      <c r="Y71" s="70"/>
      <c r="Z71" s="70"/>
      <c r="AA71" s="70"/>
      <c r="AB71" s="70"/>
      <c r="AC71" s="70"/>
      <c r="AD71" s="70"/>
      <c r="AE71" s="71"/>
      <c r="AF71" s="72"/>
      <c r="AG71" s="72"/>
      <c r="AH71" s="72"/>
      <c r="AI71" s="72"/>
      <c r="AJ71" s="71"/>
      <c r="AK71" s="72"/>
      <c r="AL71" s="71"/>
      <c r="AM71" s="72"/>
      <c r="AN71" s="71"/>
      <c r="AO71" s="72"/>
      <c r="AP71" s="72"/>
      <c r="AQ71" s="71"/>
      <c r="AR71" s="72"/>
      <c r="AS71" s="72"/>
      <c r="AT71" s="72"/>
      <c r="AU71" s="71"/>
      <c r="AV71" s="72"/>
      <c r="AW71" s="71"/>
      <c r="AX71" s="72"/>
      <c r="AY71" s="71"/>
      <c r="AZ71" s="72"/>
      <c r="BA71" s="72"/>
      <c r="BB71" s="73"/>
    </row>
    <row r="72" spans="1:54" x14ac:dyDescent="0.2">
      <c r="A72" s="196" t="s">
        <v>186</v>
      </c>
      <c r="B72" s="198"/>
      <c r="C72" s="70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1"/>
      <c r="V72" s="72"/>
      <c r="W72" s="71"/>
      <c r="X72" s="72"/>
      <c r="Y72" s="70"/>
      <c r="Z72" s="70"/>
      <c r="AA72" s="70"/>
      <c r="AB72" s="70"/>
      <c r="AC72" s="70"/>
      <c r="AD72" s="70"/>
      <c r="AE72" s="71"/>
      <c r="AF72" s="72"/>
      <c r="AG72" s="72"/>
      <c r="AH72" s="72"/>
      <c r="AI72" s="72"/>
      <c r="AJ72" s="71"/>
      <c r="AK72" s="72"/>
      <c r="AL72" s="71"/>
      <c r="AM72" s="72"/>
      <c r="AN72" s="71"/>
      <c r="AO72" s="72"/>
      <c r="AP72" s="72"/>
      <c r="AQ72" s="71"/>
      <c r="AR72" s="72"/>
      <c r="AS72" s="72"/>
      <c r="AT72" s="72"/>
      <c r="AU72" s="71"/>
      <c r="AV72" s="72"/>
      <c r="AW72" s="71"/>
      <c r="AX72" s="72"/>
      <c r="AY72" s="71"/>
      <c r="AZ72" s="72"/>
      <c r="BA72" s="72"/>
      <c r="BB72" s="73"/>
    </row>
    <row r="73" spans="1:54" x14ac:dyDescent="0.2">
      <c r="A73" s="200" t="s">
        <v>187</v>
      </c>
      <c r="B73" s="198"/>
      <c r="C73" s="70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1"/>
      <c r="V73" s="72"/>
      <c r="W73" s="71"/>
      <c r="X73" s="72"/>
      <c r="Y73" s="70"/>
      <c r="Z73" s="70"/>
      <c r="AA73" s="70"/>
      <c r="AB73" s="70"/>
      <c r="AC73" s="70"/>
      <c r="AD73" s="70"/>
      <c r="AE73" s="71"/>
      <c r="AF73" s="72"/>
      <c r="AG73" s="72"/>
      <c r="AH73" s="72"/>
      <c r="AI73" s="72"/>
      <c r="AJ73" s="71"/>
      <c r="AK73" s="72"/>
      <c r="AL73" s="71"/>
      <c r="AM73" s="72"/>
      <c r="AN73" s="71"/>
      <c r="AO73" s="72"/>
      <c r="AP73" s="72"/>
      <c r="AQ73" s="71"/>
      <c r="AR73" s="72"/>
      <c r="AS73" s="72"/>
      <c r="AT73" s="72"/>
      <c r="AU73" s="71"/>
      <c r="AV73" s="72"/>
      <c r="AW73" s="71"/>
      <c r="AX73" s="72"/>
      <c r="AY73" s="71"/>
      <c r="AZ73" s="72"/>
      <c r="BA73" s="72"/>
      <c r="BB73" s="73"/>
    </row>
    <row r="74" spans="1:54" x14ac:dyDescent="0.2">
      <c r="A74" s="196" t="s">
        <v>188</v>
      </c>
      <c r="B74" s="198"/>
      <c r="C74" s="70"/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1"/>
      <c r="V74" s="72"/>
      <c r="W74" s="71"/>
      <c r="X74" s="72"/>
      <c r="Y74" s="70"/>
      <c r="Z74" s="70"/>
      <c r="AA74" s="70"/>
      <c r="AB74" s="70"/>
      <c r="AC74" s="70"/>
      <c r="AD74" s="70"/>
      <c r="AE74" s="71"/>
      <c r="AF74" s="72"/>
      <c r="AG74" s="72"/>
      <c r="AH74" s="72"/>
      <c r="AI74" s="72"/>
      <c r="AJ74" s="71"/>
      <c r="AK74" s="72"/>
      <c r="AL74" s="71"/>
      <c r="AM74" s="72"/>
      <c r="AN74" s="71"/>
      <c r="AO74" s="72"/>
      <c r="AP74" s="72"/>
      <c r="AQ74" s="71"/>
      <c r="AR74" s="72"/>
      <c r="AS74" s="72"/>
      <c r="AT74" s="72"/>
      <c r="AU74" s="71"/>
      <c r="AV74" s="72"/>
      <c r="AW74" s="71"/>
      <c r="AX74" s="72"/>
      <c r="AY74" s="71"/>
      <c r="AZ74" s="72"/>
      <c r="BA74" s="72"/>
      <c r="BB74" s="73"/>
    </row>
    <row r="75" spans="1:54" ht="15" x14ac:dyDescent="0.25">
      <c r="A75" s="219" t="s">
        <v>200</v>
      </c>
      <c r="B75" s="198"/>
      <c r="C75" s="70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1"/>
      <c r="V75" s="72"/>
      <c r="W75" s="71"/>
      <c r="X75" s="72"/>
      <c r="Y75" s="70"/>
      <c r="Z75" s="70"/>
      <c r="AA75" s="70"/>
      <c r="AB75" s="70"/>
      <c r="AC75" s="70"/>
      <c r="AD75" s="70"/>
      <c r="AE75" s="71"/>
      <c r="AF75" s="72"/>
      <c r="AG75" s="72"/>
      <c r="AH75" s="72"/>
      <c r="AI75" s="72"/>
      <c r="AJ75" s="71"/>
      <c r="AK75" s="72"/>
      <c r="AL75" s="71"/>
      <c r="AM75" s="72"/>
      <c r="AN75" s="71"/>
      <c r="AO75" s="72"/>
      <c r="AP75" s="72"/>
      <c r="AQ75" s="71"/>
      <c r="AR75" s="72"/>
      <c r="AS75" s="72"/>
      <c r="AT75" s="72"/>
      <c r="AU75" s="71"/>
      <c r="AV75" s="72"/>
      <c r="AW75" s="71"/>
      <c r="AX75" s="72"/>
      <c r="AY75" s="71"/>
      <c r="AZ75" s="72"/>
      <c r="BA75" s="72"/>
      <c r="BB75" s="73"/>
    </row>
    <row r="76" spans="1:54" x14ac:dyDescent="0.2">
      <c r="A76" s="201" t="s">
        <v>159</v>
      </c>
      <c r="B76" s="202"/>
      <c r="C76" s="202"/>
      <c r="D76" s="74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4"/>
      <c r="V76" s="75"/>
      <c r="W76" s="74"/>
      <c r="X76" s="75"/>
      <c r="Y76" s="202"/>
      <c r="Z76" s="202"/>
      <c r="AA76" s="202"/>
      <c r="AB76" s="202"/>
      <c r="AC76" s="202"/>
      <c r="AD76" s="202"/>
      <c r="AE76" s="74"/>
      <c r="AF76" s="75"/>
      <c r="AG76" s="75"/>
      <c r="AH76" s="75"/>
      <c r="AI76" s="75"/>
      <c r="AJ76" s="74"/>
      <c r="AK76" s="75"/>
      <c r="AL76" s="74"/>
      <c r="AM76" s="75"/>
      <c r="AN76" s="74"/>
      <c r="AO76" s="75"/>
      <c r="AP76" s="75"/>
      <c r="AQ76" s="74"/>
      <c r="AR76" s="75"/>
      <c r="AS76" s="75"/>
      <c r="AT76" s="75"/>
      <c r="AU76" s="74"/>
      <c r="AV76" s="75"/>
      <c r="AW76" s="74"/>
      <c r="AX76" s="75"/>
      <c r="AY76" s="74"/>
      <c r="AZ76" s="75"/>
      <c r="BA76" s="75"/>
      <c r="BB76" s="76"/>
    </row>
    <row r="77" spans="1:54" x14ac:dyDescent="0.2">
      <c r="A77" s="196" t="s">
        <v>174</v>
      </c>
      <c r="C77" s="70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1"/>
      <c r="V77" s="72"/>
      <c r="W77" s="71"/>
      <c r="X77" s="72"/>
      <c r="Y77" s="70"/>
      <c r="Z77" s="70"/>
      <c r="AA77" s="70"/>
      <c r="AB77" s="70"/>
      <c r="AC77" s="70"/>
      <c r="AD77" s="70"/>
      <c r="AE77" s="71"/>
      <c r="AF77" s="72"/>
      <c r="AG77" s="72"/>
      <c r="AH77" s="72"/>
      <c r="AI77" s="72"/>
      <c r="AJ77" s="71"/>
      <c r="AK77" s="72"/>
      <c r="AL77" s="71"/>
      <c r="AM77" s="72"/>
      <c r="AN77" s="71"/>
      <c r="AO77" s="72"/>
      <c r="AP77" s="72"/>
      <c r="AQ77" s="71"/>
      <c r="AR77" s="72"/>
      <c r="AS77" s="72"/>
      <c r="AT77" s="72"/>
      <c r="AU77" s="71"/>
      <c r="AV77" s="72"/>
      <c r="AW77" s="71"/>
      <c r="AX77" s="72"/>
      <c r="AY77" s="71"/>
      <c r="AZ77" s="72"/>
      <c r="BA77" s="72"/>
      <c r="BB77" s="73"/>
    </row>
    <row r="78" spans="1:54" x14ac:dyDescent="0.2">
      <c r="A78" s="203" t="s">
        <v>160</v>
      </c>
      <c r="B78" s="202"/>
      <c r="C78" s="202"/>
      <c r="D78" s="74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4"/>
      <c r="V78" s="75"/>
      <c r="W78" s="74"/>
      <c r="X78" s="75"/>
      <c r="Y78" s="202"/>
      <c r="Z78" s="202"/>
      <c r="AA78" s="202"/>
      <c r="AB78" s="202"/>
      <c r="AC78" s="202"/>
      <c r="AD78" s="202"/>
      <c r="AE78" s="74"/>
      <c r="AF78" s="75"/>
      <c r="AG78" s="75"/>
      <c r="AH78" s="75"/>
      <c r="AI78" s="75"/>
      <c r="AJ78" s="74"/>
      <c r="AK78" s="75"/>
      <c r="AL78" s="74"/>
      <c r="AM78" s="75"/>
      <c r="AN78" s="74"/>
      <c r="AO78" s="75"/>
      <c r="AP78" s="75"/>
      <c r="AQ78" s="74"/>
      <c r="AR78" s="75"/>
      <c r="AS78" s="75"/>
      <c r="AT78" s="75"/>
      <c r="AU78" s="74"/>
      <c r="AV78" s="75"/>
      <c r="AW78" s="74"/>
      <c r="AX78" s="75"/>
      <c r="AY78" s="74"/>
      <c r="AZ78" s="75"/>
      <c r="BA78" s="75"/>
      <c r="BB78" s="76"/>
    </row>
    <row r="79" spans="1:54" s="220" customFormat="1" x14ac:dyDescent="0.2">
      <c r="A79" s="204" t="s">
        <v>167</v>
      </c>
      <c r="B79" s="205"/>
      <c r="C79" s="205"/>
      <c r="D79" s="132"/>
      <c r="E79" s="133"/>
      <c r="F79" s="132"/>
      <c r="G79" s="133"/>
      <c r="H79" s="132"/>
      <c r="I79" s="133"/>
      <c r="J79" s="133"/>
      <c r="K79" s="133"/>
      <c r="L79" s="133"/>
      <c r="M79" s="133"/>
      <c r="N79" s="133"/>
      <c r="O79" s="133"/>
      <c r="P79" s="133"/>
      <c r="Q79" s="132"/>
      <c r="R79" s="133"/>
      <c r="S79" s="133"/>
      <c r="T79" s="133"/>
      <c r="U79" s="132"/>
      <c r="V79" s="133"/>
      <c r="W79" s="132"/>
      <c r="X79" s="133"/>
      <c r="Y79" s="205"/>
      <c r="Z79" s="205"/>
      <c r="AA79" s="205"/>
      <c r="AB79" s="205"/>
      <c r="AC79" s="205"/>
      <c r="AD79" s="205"/>
      <c r="AE79" s="132"/>
      <c r="AF79" s="133"/>
      <c r="AG79" s="133"/>
      <c r="AH79" s="133"/>
      <c r="AI79" s="133"/>
      <c r="AJ79" s="132"/>
      <c r="AK79" s="133"/>
      <c r="AL79" s="132"/>
      <c r="AM79" s="133"/>
      <c r="AN79" s="132"/>
      <c r="AO79" s="133"/>
      <c r="AP79" s="133"/>
      <c r="AQ79" s="132"/>
      <c r="AR79" s="133"/>
      <c r="AS79" s="133"/>
      <c r="AT79" s="133"/>
      <c r="AU79" s="132"/>
      <c r="AV79" s="133"/>
      <c r="AW79" s="132"/>
      <c r="AX79" s="133"/>
      <c r="AY79" s="132"/>
      <c r="AZ79" s="133"/>
      <c r="BA79" s="133"/>
      <c r="BB79" s="134"/>
    </row>
    <row r="80" spans="1:54" s="220" customFormat="1" x14ac:dyDescent="0.2">
      <c r="A80" s="206" t="s">
        <v>168</v>
      </c>
      <c r="B80" s="205"/>
      <c r="C80" s="205"/>
      <c r="D80" s="132"/>
      <c r="E80" s="133"/>
      <c r="F80" s="132"/>
      <c r="G80" s="133"/>
      <c r="H80" s="132"/>
      <c r="I80" s="133"/>
      <c r="J80" s="133"/>
      <c r="K80" s="133"/>
      <c r="L80" s="133"/>
      <c r="M80" s="133"/>
      <c r="N80" s="133"/>
      <c r="O80" s="133"/>
      <c r="P80" s="133"/>
      <c r="Q80" s="132"/>
      <c r="R80" s="133"/>
      <c r="S80" s="133"/>
      <c r="T80" s="133"/>
      <c r="U80" s="132"/>
      <c r="V80" s="133"/>
      <c r="W80" s="132"/>
      <c r="X80" s="133"/>
      <c r="Y80" s="205"/>
      <c r="Z80" s="205"/>
      <c r="AA80" s="205"/>
      <c r="AB80" s="205"/>
      <c r="AC80" s="205"/>
      <c r="AD80" s="205"/>
      <c r="AE80" s="132"/>
      <c r="AF80" s="133"/>
      <c r="AG80" s="133"/>
      <c r="AH80" s="133"/>
      <c r="AI80" s="133"/>
      <c r="AJ80" s="132"/>
      <c r="AK80" s="133"/>
      <c r="AL80" s="132"/>
      <c r="AM80" s="133"/>
      <c r="AN80" s="132"/>
      <c r="AO80" s="133"/>
      <c r="AP80" s="133"/>
      <c r="AQ80" s="132"/>
      <c r="AR80" s="133"/>
      <c r="AS80" s="133"/>
      <c r="AT80" s="133"/>
      <c r="AU80" s="132"/>
      <c r="AV80" s="133"/>
      <c r="AW80" s="132"/>
      <c r="AX80" s="133"/>
      <c r="AY80" s="132"/>
      <c r="AZ80" s="133"/>
      <c r="BA80" s="133"/>
      <c r="BB80" s="134"/>
    </row>
    <row r="81" spans="1:54" s="220" customFormat="1" x14ac:dyDescent="0.2">
      <c r="A81" s="221" t="s">
        <v>206</v>
      </c>
      <c r="B81" s="205"/>
      <c r="C81" s="205"/>
      <c r="D81" s="132"/>
      <c r="E81" s="133"/>
      <c r="F81" s="132"/>
      <c r="G81" s="133"/>
      <c r="H81" s="132"/>
      <c r="I81" s="133"/>
      <c r="J81" s="133"/>
      <c r="K81" s="133"/>
      <c r="L81" s="133"/>
      <c r="M81" s="133"/>
      <c r="N81" s="133"/>
      <c r="O81" s="133"/>
      <c r="P81" s="133"/>
      <c r="Q81" s="132"/>
      <c r="R81" s="133"/>
      <c r="S81" s="133"/>
      <c r="T81" s="133"/>
      <c r="U81" s="132"/>
      <c r="V81" s="133"/>
      <c r="W81" s="132"/>
      <c r="X81" s="133"/>
      <c r="Y81" s="205"/>
      <c r="Z81" s="205"/>
      <c r="AA81" s="205"/>
      <c r="AB81" s="205"/>
      <c r="AC81" s="205"/>
      <c r="AD81" s="205"/>
      <c r="AE81" s="132"/>
      <c r="AF81" s="133"/>
      <c r="AG81" s="133"/>
      <c r="AH81" s="133"/>
      <c r="AI81" s="133"/>
      <c r="AJ81" s="132"/>
      <c r="AK81" s="133"/>
      <c r="AL81" s="132"/>
      <c r="AM81" s="133"/>
      <c r="AN81" s="132"/>
      <c r="AO81" s="133"/>
      <c r="AP81" s="133"/>
      <c r="AQ81" s="132"/>
      <c r="AR81" s="133"/>
      <c r="AS81" s="133"/>
      <c r="AT81" s="133"/>
      <c r="AU81" s="132"/>
      <c r="AV81" s="133"/>
      <c r="AW81" s="132"/>
      <c r="AX81" s="133"/>
      <c r="AY81" s="132"/>
      <c r="AZ81" s="133"/>
      <c r="BA81" s="133"/>
      <c r="BB81" s="134"/>
    </row>
    <row r="82" spans="1:54" s="227" customFormat="1" x14ac:dyDescent="0.2">
      <c r="A82" s="222" t="s">
        <v>201</v>
      </c>
      <c r="B82" s="223"/>
      <c r="C82" s="223"/>
      <c r="D82" s="224"/>
      <c r="E82" s="225"/>
      <c r="F82" s="224"/>
      <c r="G82" s="225"/>
      <c r="H82" s="224"/>
      <c r="I82" s="225"/>
      <c r="J82" s="225"/>
      <c r="K82" s="225"/>
      <c r="L82" s="225"/>
      <c r="M82" s="225"/>
      <c r="N82" s="225"/>
      <c r="O82" s="225"/>
      <c r="P82" s="225"/>
      <c r="Q82" s="224"/>
      <c r="R82" s="225"/>
      <c r="S82" s="225"/>
      <c r="T82" s="225"/>
      <c r="U82" s="224"/>
      <c r="V82" s="225"/>
      <c r="W82" s="224"/>
      <c r="X82" s="225"/>
      <c r="Y82" s="223"/>
      <c r="Z82" s="223"/>
      <c r="AA82" s="223"/>
      <c r="AB82" s="223"/>
      <c r="AC82" s="223"/>
      <c r="AD82" s="223"/>
      <c r="AE82" s="224"/>
      <c r="AF82" s="225"/>
      <c r="AG82" s="225"/>
      <c r="AH82" s="225"/>
      <c r="AI82" s="225"/>
      <c r="AJ82" s="224"/>
      <c r="AK82" s="225"/>
      <c r="AL82" s="224"/>
      <c r="AM82" s="225"/>
      <c r="AN82" s="224"/>
      <c r="AO82" s="225"/>
      <c r="AP82" s="225"/>
      <c r="AQ82" s="224"/>
      <c r="AR82" s="225"/>
      <c r="AS82" s="225"/>
      <c r="AT82" s="225"/>
      <c r="AU82" s="224"/>
      <c r="AV82" s="225"/>
      <c r="AW82" s="224"/>
      <c r="AX82" s="225"/>
      <c r="AY82" s="224"/>
      <c r="AZ82" s="225"/>
      <c r="BA82" s="225"/>
      <c r="BB82" s="226"/>
    </row>
    <row r="83" spans="1:54" s="220" customFormat="1" x14ac:dyDescent="0.2">
      <c r="A83" s="228" t="s">
        <v>189</v>
      </c>
      <c r="B83" s="205"/>
      <c r="C83" s="205"/>
      <c r="D83" s="132"/>
      <c r="E83" s="133"/>
      <c r="F83" s="132"/>
      <c r="G83" s="133"/>
      <c r="H83" s="132"/>
      <c r="I83" s="133"/>
      <c r="J83" s="133"/>
      <c r="K83" s="133"/>
      <c r="L83" s="133"/>
      <c r="M83" s="133"/>
      <c r="N83" s="133"/>
      <c r="O83" s="133"/>
      <c r="P83" s="133"/>
      <c r="Q83" s="132"/>
      <c r="R83" s="133"/>
      <c r="S83" s="133"/>
      <c r="T83" s="133"/>
      <c r="U83" s="132"/>
      <c r="V83" s="133"/>
      <c r="W83" s="132"/>
      <c r="X83" s="133"/>
      <c r="Y83" s="205"/>
      <c r="Z83" s="205"/>
      <c r="AA83" s="205"/>
      <c r="AB83" s="205"/>
      <c r="AC83" s="205"/>
      <c r="AD83" s="205"/>
      <c r="AE83" s="132"/>
      <c r="AF83" s="133"/>
      <c r="AG83" s="133"/>
      <c r="AH83" s="133"/>
      <c r="AI83" s="133"/>
      <c r="AJ83" s="132"/>
      <c r="AK83" s="133"/>
      <c r="AL83" s="132"/>
      <c r="AM83" s="133"/>
      <c r="AN83" s="132"/>
      <c r="AO83" s="133"/>
      <c r="AP83" s="133"/>
      <c r="AQ83" s="132"/>
      <c r="AR83" s="133"/>
      <c r="AS83" s="133"/>
      <c r="AT83" s="133"/>
      <c r="AU83" s="132"/>
      <c r="AV83" s="133"/>
      <c r="AW83" s="132"/>
      <c r="AX83" s="133"/>
      <c r="AY83" s="132"/>
      <c r="AZ83" s="133"/>
      <c r="BA83" s="133"/>
      <c r="BB83" s="134"/>
    </row>
    <row r="84" spans="1:54" s="229" customFormat="1" x14ac:dyDescent="0.2">
      <c r="A84" s="201"/>
      <c r="B84" s="202"/>
      <c r="C84" s="202"/>
      <c r="D84" s="74"/>
      <c r="E84" s="75"/>
      <c r="F84" s="74"/>
      <c r="G84" s="75"/>
      <c r="H84" s="74"/>
      <c r="I84" s="75"/>
      <c r="J84" s="75"/>
      <c r="K84" s="75"/>
      <c r="L84" s="75"/>
      <c r="M84" s="75"/>
      <c r="N84" s="75"/>
      <c r="O84" s="75"/>
      <c r="P84" s="75"/>
      <c r="Q84" s="74"/>
      <c r="R84" s="75"/>
      <c r="S84" s="75"/>
      <c r="T84" s="75"/>
      <c r="U84" s="74"/>
      <c r="V84" s="75"/>
      <c r="W84" s="74"/>
      <c r="X84" s="75"/>
      <c r="Y84" s="202"/>
      <c r="Z84" s="202"/>
      <c r="AA84" s="202"/>
      <c r="AB84" s="202"/>
      <c r="AC84" s="202"/>
      <c r="AD84" s="202"/>
      <c r="AE84" s="74"/>
      <c r="AF84" s="75"/>
      <c r="AG84" s="75"/>
      <c r="AH84" s="75"/>
      <c r="AI84" s="75"/>
      <c r="AJ84" s="74"/>
      <c r="AK84" s="75"/>
      <c r="AL84" s="74"/>
      <c r="AM84" s="75"/>
      <c r="AN84" s="74"/>
      <c r="AO84" s="75"/>
      <c r="AP84" s="75"/>
      <c r="AQ84" s="74"/>
      <c r="AR84" s="75"/>
      <c r="AS84" s="75"/>
      <c r="AT84" s="75"/>
      <c r="AU84" s="74"/>
      <c r="AV84" s="75"/>
      <c r="AW84" s="74"/>
      <c r="AX84" s="75"/>
      <c r="AY84" s="74"/>
      <c r="AZ84" s="75"/>
      <c r="BA84" s="75"/>
      <c r="BB84" s="76"/>
    </row>
    <row r="85" spans="1:54" s="229" customFormat="1" x14ac:dyDescent="0.2">
      <c r="A85" s="243" t="s">
        <v>73</v>
      </c>
      <c r="B85" s="244"/>
      <c r="C85" s="245"/>
      <c r="D85" s="246"/>
      <c r="E85" s="247"/>
      <c r="F85" s="246"/>
      <c r="G85" s="247"/>
      <c r="H85" s="246"/>
      <c r="I85" s="247"/>
      <c r="J85" s="247"/>
      <c r="K85" s="247"/>
      <c r="L85" s="247"/>
      <c r="M85" s="247"/>
      <c r="N85" s="247"/>
      <c r="O85" s="247"/>
      <c r="P85" s="247"/>
      <c r="Q85" s="246"/>
      <c r="R85" s="247"/>
      <c r="S85" s="247"/>
      <c r="T85" s="247"/>
      <c r="U85" s="246"/>
      <c r="V85" s="247"/>
      <c r="W85" s="246"/>
      <c r="X85" s="247"/>
      <c r="Y85" s="244"/>
      <c r="Z85" s="244"/>
      <c r="AA85" s="244"/>
      <c r="AB85" s="244"/>
      <c r="AC85" s="244"/>
      <c r="AD85" s="244"/>
      <c r="AE85" s="246"/>
      <c r="AF85" s="247"/>
      <c r="AG85" s="247"/>
      <c r="AH85" s="247"/>
      <c r="AI85" s="247"/>
      <c r="AJ85" s="246"/>
      <c r="AK85" s="247"/>
      <c r="AL85" s="246"/>
      <c r="AM85" s="247"/>
      <c r="AN85" s="246"/>
      <c r="AO85" s="247"/>
      <c r="AP85" s="247"/>
      <c r="AQ85" s="246"/>
      <c r="AR85" s="247"/>
      <c r="AS85" s="247"/>
      <c r="AT85" s="247"/>
      <c r="AU85" s="246"/>
      <c r="AV85" s="247"/>
      <c r="AW85" s="246"/>
      <c r="AX85" s="247"/>
      <c r="AY85" s="246"/>
      <c r="AZ85" s="247"/>
      <c r="BA85" s="247"/>
      <c r="BB85" s="248"/>
    </row>
    <row r="86" spans="1:54" x14ac:dyDescent="0.2">
      <c r="A86" s="249" t="s">
        <v>76</v>
      </c>
      <c r="B86" s="250"/>
      <c r="C86" s="250"/>
      <c r="D86" s="250"/>
      <c r="E86" s="250"/>
      <c r="F86" s="251"/>
      <c r="G86" s="250"/>
      <c r="H86" s="251"/>
      <c r="I86" s="250"/>
      <c r="J86" s="250"/>
      <c r="K86" s="250"/>
      <c r="L86" s="250"/>
      <c r="M86" s="250"/>
      <c r="N86" s="250"/>
      <c r="O86" s="250"/>
      <c r="P86" s="250"/>
      <c r="Q86" s="251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2"/>
      <c r="AK86" s="250"/>
      <c r="AL86" s="252"/>
      <c r="AM86" s="250"/>
      <c r="AN86" s="251"/>
      <c r="AO86" s="250"/>
      <c r="AP86" s="250"/>
      <c r="AQ86" s="251"/>
      <c r="AR86" s="250"/>
      <c r="AS86" s="250"/>
      <c r="AT86" s="250"/>
      <c r="AU86" s="251"/>
      <c r="AV86" s="250"/>
      <c r="AW86" s="253"/>
      <c r="AX86" s="250"/>
      <c r="AY86" s="251"/>
      <c r="AZ86" s="254"/>
      <c r="BA86" s="250"/>
      <c r="BB86" s="255"/>
    </row>
    <row r="87" spans="1:54" x14ac:dyDescent="0.2">
      <c r="A87" s="256"/>
      <c r="B87" s="257"/>
      <c r="C87" s="258"/>
      <c r="D87" s="259"/>
      <c r="E87" s="260"/>
      <c r="F87" s="259"/>
      <c r="G87" s="260"/>
      <c r="H87" s="259"/>
      <c r="I87" s="260"/>
      <c r="J87" s="260"/>
      <c r="K87" s="260"/>
      <c r="L87" s="260"/>
      <c r="M87" s="260"/>
      <c r="N87" s="260"/>
      <c r="O87" s="260"/>
      <c r="P87" s="260"/>
      <c r="Q87" s="259"/>
      <c r="R87" s="260"/>
      <c r="S87" s="260"/>
      <c r="T87" s="260"/>
      <c r="U87" s="259"/>
      <c r="V87" s="260"/>
      <c r="W87" s="259"/>
      <c r="X87" s="260"/>
      <c r="Y87" s="257"/>
      <c r="Z87" s="257"/>
      <c r="AA87" s="257"/>
      <c r="AB87" s="257"/>
      <c r="AC87" s="257"/>
      <c r="AD87" s="257"/>
      <c r="AE87" s="259"/>
      <c r="AF87" s="260"/>
      <c r="AG87" s="260"/>
      <c r="AH87" s="260"/>
      <c r="AI87" s="260"/>
      <c r="AJ87" s="259"/>
      <c r="AK87" s="260"/>
      <c r="AL87" s="259"/>
      <c r="AM87" s="260"/>
      <c r="AN87" s="259"/>
      <c r="AO87" s="260"/>
      <c r="AP87" s="260"/>
      <c r="AQ87" s="259"/>
      <c r="AR87" s="260"/>
      <c r="AS87" s="260"/>
      <c r="AT87" s="260"/>
      <c r="AU87" s="259"/>
      <c r="AV87" s="260"/>
      <c r="AW87" s="259"/>
      <c r="AX87" s="260"/>
      <c r="AY87" s="259"/>
      <c r="AZ87" s="260"/>
      <c r="BA87" s="260"/>
      <c r="BB87" s="261"/>
    </row>
    <row r="88" spans="1:54" x14ac:dyDescent="0.2">
      <c r="A88" s="77" t="s">
        <v>78</v>
      </c>
      <c r="B88" s="78"/>
      <c r="C88" s="79"/>
      <c r="D88" s="80"/>
      <c r="E88" s="81"/>
      <c r="F88" s="80"/>
      <c r="G88" s="81"/>
      <c r="H88" s="80"/>
      <c r="I88" s="81"/>
      <c r="J88" s="81"/>
      <c r="K88" s="81"/>
      <c r="L88" s="81"/>
      <c r="M88" s="81"/>
      <c r="N88" s="81"/>
      <c r="O88" s="81"/>
      <c r="P88" s="81"/>
      <c r="Q88" s="80"/>
      <c r="R88" s="81"/>
      <c r="S88" s="81"/>
      <c r="T88" s="81"/>
      <c r="U88" s="80"/>
      <c r="V88" s="81"/>
      <c r="W88" s="80"/>
      <c r="X88" s="81"/>
      <c r="Y88" s="78"/>
      <c r="Z88" s="78"/>
      <c r="AA88" s="78"/>
      <c r="AB88" s="78"/>
      <c r="AC88" s="78"/>
      <c r="AD88" s="78"/>
      <c r="AE88" s="80"/>
      <c r="AF88" s="81"/>
      <c r="AG88" s="81"/>
      <c r="AH88" s="81"/>
      <c r="AI88" s="81"/>
      <c r="AJ88" s="80"/>
      <c r="AK88" s="81"/>
      <c r="AL88" s="80"/>
      <c r="AM88" s="81"/>
      <c r="AN88" s="80"/>
      <c r="AO88" s="81"/>
      <c r="AP88" s="81"/>
      <c r="AQ88" s="80"/>
      <c r="AR88" s="81"/>
      <c r="AS88" s="81"/>
      <c r="AT88" s="81"/>
      <c r="AU88" s="80"/>
      <c r="AV88" s="81"/>
      <c r="AW88" s="80"/>
      <c r="AX88" s="81"/>
      <c r="AY88" s="80"/>
      <c r="AZ88" s="81"/>
      <c r="BA88" s="81"/>
      <c r="BB88" s="82"/>
    </row>
    <row r="89" spans="1:54" x14ac:dyDescent="0.2">
      <c r="A89" s="207" t="s">
        <v>82</v>
      </c>
      <c r="B89" s="208"/>
      <c r="C89" s="208"/>
      <c r="D89" s="208"/>
      <c r="E89" s="208"/>
      <c r="F89" s="90"/>
      <c r="G89" s="208"/>
      <c r="H89" s="90"/>
      <c r="I89" s="208"/>
      <c r="J89" s="208"/>
      <c r="K89" s="208"/>
      <c r="L89" s="208"/>
      <c r="M89" s="208"/>
      <c r="N89" s="208"/>
      <c r="O89" s="208"/>
      <c r="P89" s="208"/>
      <c r="Q89" s="90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9"/>
      <c r="AK89" s="208"/>
      <c r="AL89" s="209"/>
      <c r="AM89" s="208"/>
      <c r="AN89" s="90"/>
      <c r="AO89" s="208"/>
      <c r="AP89" s="208"/>
      <c r="AQ89" s="90"/>
      <c r="AR89" s="208"/>
      <c r="AS89" s="208"/>
      <c r="AT89" s="208"/>
      <c r="AU89" s="90"/>
      <c r="AV89" s="208"/>
      <c r="AW89" s="242"/>
      <c r="AX89" s="208"/>
      <c r="AY89" s="90"/>
      <c r="AZ89" s="135"/>
      <c r="BA89" s="208"/>
      <c r="BB89" s="83"/>
    </row>
    <row r="90" spans="1:54" x14ac:dyDescent="0.2">
      <c r="A90" s="207" t="s">
        <v>80</v>
      </c>
      <c r="B90" s="208"/>
      <c r="C90" s="208"/>
      <c r="D90" s="208"/>
      <c r="E90" s="208"/>
      <c r="F90" s="90"/>
      <c r="G90" s="208"/>
      <c r="H90" s="90"/>
      <c r="I90" s="208"/>
      <c r="J90" s="208"/>
      <c r="K90" s="208"/>
      <c r="L90" s="208"/>
      <c r="M90" s="208"/>
      <c r="N90" s="208"/>
      <c r="O90" s="208"/>
      <c r="P90" s="208"/>
      <c r="Q90" s="90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9"/>
      <c r="AK90" s="208"/>
      <c r="AL90" s="209"/>
      <c r="AM90" s="208"/>
      <c r="AN90" s="90"/>
      <c r="AO90" s="208"/>
      <c r="AP90" s="208"/>
      <c r="AQ90" s="90"/>
      <c r="AR90" s="208"/>
      <c r="AS90" s="208"/>
      <c r="AT90" s="208"/>
      <c r="AU90" s="90"/>
      <c r="AV90" s="208"/>
      <c r="AW90" s="242"/>
      <c r="AX90" s="208"/>
      <c r="AY90" s="90"/>
      <c r="AZ90" s="135"/>
      <c r="BA90" s="208"/>
      <c r="BB90" s="83"/>
    </row>
    <row r="91" spans="1:54" x14ac:dyDescent="0.2">
      <c r="A91" s="207" t="s">
        <v>81</v>
      </c>
      <c r="B91" s="208"/>
      <c r="C91" s="208"/>
      <c r="D91" s="208"/>
      <c r="E91" s="208"/>
      <c r="F91" s="90"/>
      <c r="G91" s="208"/>
      <c r="H91" s="90"/>
      <c r="I91" s="208"/>
      <c r="J91" s="208"/>
      <c r="K91" s="208"/>
      <c r="L91" s="208"/>
      <c r="M91" s="208"/>
      <c r="N91" s="208"/>
      <c r="O91" s="208"/>
      <c r="P91" s="208"/>
      <c r="Q91" s="90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9"/>
      <c r="AK91" s="208"/>
      <c r="AL91" s="209"/>
      <c r="AM91" s="208"/>
      <c r="AN91" s="90"/>
      <c r="AO91" s="208"/>
      <c r="AP91" s="208"/>
      <c r="AQ91" s="90"/>
      <c r="AR91" s="208"/>
      <c r="AS91" s="208"/>
      <c r="AT91" s="208"/>
      <c r="AU91" s="90"/>
      <c r="AV91" s="208"/>
      <c r="AW91" s="242"/>
      <c r="AX91" s="208"/>
      <c r="AY91" s="90"/>
      <c r="AZ91" s="135"/>
      <c r="BA91" s="208"/>
      <c r="BB91" s="83"/>
    </row>
    <row r="92" spans="1:54" x14ac:dyDescent="0.2">
      <c r="A92" s="207" t="s">
        <v>83</v>
      </c>
      <c r="B92" s="208"/>
      <c r="C92" s="208"/>
      <c r="D92" s="208"/>
      <c r="E92" s="208"/>
      <c r="F92" s="90"/>
      <c r="G92" s="208"/>
      <c r="H92" s="90"/>
      <c r="I92" s="208"/>
      <c r="J92" s="208"/>
      <c r="K92" s="208"/>
      <c r="L92" s="208"/>
      <c r="M92" s="208"/>
      <c r="N92" s="208"/>
      <c r="O92" s="208"/>
      <c r="P92" s="208"/>
      <c r="Q92" s="90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9"/>
      <c r="AK92" s="208"/>
      <c r="AL92" s="209"/>
      <c r="AM92" s="208"/>
      <c r="AN92" s="90"/>
      <c r="AO92" s="208"/>
      <c r="AP92" s="208"/>
      <c r="AQ92" s="90"/>
      <c r="AR92" s="208"/>
      <c r="AS92" s="208"/>
      <c r="AT92" s="208"/>
      <c r="AU92" s="90"/>
      <c r="AV92" s="208"/>
      <c r="AW92" s="242"/>
      <c r="AX92" s="208"/>
      <c r="AY92" s="90"/>
      <c r="AZ92" s="135"/>
      <c r="BA92" s="208"/>
      <c r="BB92" s="83"/>
    </row>
    <row r="93" spans="1:54" x14ac:dyDescent="0.2">
      <c r="A93" s="207" t="s">
        <v>79</v>
      </c>
      <c r="B93" s="208"/>
      <c r="C93" s="208"/>
      <c r="D93" s="208"/>
      <c r="E93" s="208"/>
      <c r="F93" s="90"/>
      <c r="G93" s="208"/>
      <c r="H93" s="90"/>
      <c r="I93" s="208"/>
      <c r="J93" s="208"/>
      <c r="K93" s="208"/>
      <c r="L93" s="208"/>
      <c r="M93" s="208"/>
      <c r="N93" s="208"/>
      <c r="O93" s="208"/>
      <c r="P93" s="208"/>
      <c r="Q93" s="90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9"/>
      <c r="AK93" s="208"/>
      <c r="AL93" s="209"/>
      <c r="AM93" s="208"/>
      <c r="AN93" s="90"/>
      <c r="AO93" s="208"/>
      <c r="AP93" s="208"/>
      <c r="AQ93" s="90"/>
      <c r="AR93" s="208"/>
      <c r="AS93" s="208"/>
      <c r="AT93" s="208"/>
      <c r="AU93" s="90"/>
      <c r="AV93" s="208"/>
      <c r="AW93" s="242"/>
      <c r="AX93" s="208"/>
      <c r="AY93" s="90"/>
      <c r="AZ93" s="135"/>
      <c r="BA93" s="208"/>
      <c r="BB93" s="83"/>
    </row>
    <row r="94" spans="1:54" x14ac:dyDescent="0.2">
      <c r="A94" s="84"/>
      <c r="B94" s="85"/>
      <c r="C94" s="86"/>
      <c r="D94" s="87"/>
      <c r="E94" s="88"/>
      <c r="F94" s="87"/>
      <c r="G94" s="88"/>
      <c r="H94" s="87"/>
      <c r="I94" s="88"/>
      <c r="J94" s="88"/>
      <c r="K94" s="88"/>
      <c r="L94" s="88"/>
      <c r="M94" s="88"/>
      <c r="N94" s="88"/>
      <c r="O94" s="88"/>
      <c r="P94" s="88"/>
      <c r="Q94" s="87"/>
      <c r="R94" s="88"/>
      <c r="S94" s="88"/>
      <c r="T94" s="88"/>
      <c r="U94" s="87"/>
      <c r="V94" s="88"/>
      <c r="W94" s="87"/>
      <c r="X94" s="88"/>
      <c r="Y94" s="85"/>
      <c r="Z94" s="85"/>
      <c r="AA94" s="85"/>
      <c r="AB94" s="85"/>
      <c r="AC94" s="85"/>
      <c r="AD94" s="85"/>
      <c r="AE94" s="87"/>
      <c r="AF94" s="88"/>
      <c r="AG94" s="88"/>
      <c r="AH94" s="88"/>
      <c r="AI94" s="88"/>
      <c r="AJ94" s="87"/>
      <c r="AK94" s="88"/>
      <c r="AL94" s="87"/>
      <c r="AM94" s="88"/>
      <c r="AN94" s="87"/>
      <c r="AO94" s="88"/>
      <c r="AP94" s="88"/>
      <c r="AQ94" s="87"/>
      <c r="AR94" s="88"/>
      <c r="AS94" s="88"/>
      <c r="AT94" s="88"/>
      <c r="AU94" s="87"/>
      <c r="AV94" s="88"/>
      <c r="AW94" s="87"/>
      <c r="AX94" s="88"/>
      <c r="AY94" s="87"/>
      <c r="AZ94" s="88"/>
      <c r="BA94" s="88"/>
      <c r="BB94" s="89"/>
    </row>
  </sheetData>
  <sheetProtection algorithmName="SHA-512" hashValue="U9MzDeqbCbQ3S1wvPM7TjA7RUJEzjJ1nL29wN6uJn/vCzHuWyN3wxJ4XFKUulZ/xljBwl+34MAxJC1BWoxh2tw==" saltValue="myeKHcoMipyY4nN5TJDZ8A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0" orientation="landscape" r:id="rId1"/>
  <headerFooter alignWithMargins="0">
    <oddFooter>Page &amp;P of &amp;N</oddFooter>
  </headerFooter>
  <rowBreaks count="1" manualBreakCount="1">
    <brk id="59" max="51" man="1"/>
  </rowBreaks>
  <colBreaks count="3" manualBreakCount="3">
    <brk id="16" max="58" man="1"/>
    <brk id="30" max="58" man="1"/>
    <brk id="4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52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70" customWidth="1"/>
    <col min="2" max="2" width="5.5703125" style="183" bestFit="1" customWidth="1"/>
    <col min="3" max="3" width="9.85546875" style="184" customWidth="1"/>
    <col min="4" max="4" width="10.28515625" style="184" customWidth="1"/>
    <col min="5" max="5" width="9.42578125" style="184" bestFit="1" customWidth="1"/>
    <col min="6" max="6" width="12.42578125" style="184" customWidth="1"/>
    <col min="7" max="7" width="9.28515625" style="184" customWidth="1"/>
    <col min="8" max="8" width="12.28515625" style="184" customWidth="1"/>
    <col min="9" max="9" width="8.140625" style="184" bestFit="1" customWidth="1"/>
    <col min="10" max="10" width="9.5703125" style="185" customWidth="1"/>
    <col min="11" max="12" width="11.42578125" style="160"/>
    <col min="13" max="13" width="14.85546875" style="186" bestFit="1" customWidth="1"/>
    <col min="14" max="14" width="9.85546875" style="186" bestFit="1" customWidth="1"/>
    <col min="15" max="16" width="9.28515625" style="186" bestFit="1" customWidth="1"/>
    <col min="17" max="19" width="10.7109375" style="186" bestFit="1" customWidth="1"/>
    <col min="20" max="16384" width="11.42578125" style="172"/>
  </cols>
  <sheetData>
    <row r="1" spans="1:19" s="170" customFormat="1" ht="45" x14ac:dyDescent="0.25">
      <c r="A1" s="263" t="s">
        <v>169</v>
      </c>
      <c r="B1" s="264"/>
      <c r="C1" s="265">
        <v>1204</v>
      </c>
      <c r="D1" s="264">
        <v>3604</v>
      </c>
      <c r="E1" s="264">
        <v>4076</v>
      </c>
      <c r="F1" s="264">
        <v>3620</v>
      </c>
      <c r="G1" s="265" t="s">
        <v>88</v>
      </c>
      <c r="H1" s="264">
        <v>4561</v>
      </c>
      <c r="I1" s="264" t="s">
        <v>89</v>
      </c>
      <c r="J1" s="266" t="s">
        <v>90</v>
      </c>
      <c r="K1" s="267" t="s">
        <v>91</v>
      </c>
      <c r="L1" s="267" t="s">
        <v>92</v>
      </c>
      <c r="M1" s="266" t="s">
        <v>93</v>
      </c>
      <c r="N1" s="266" t="s">
        <v>94</v>
      </c>
      <c r="O1" s="266" t="s">
        <v>95</v>
      </c>
      <c r="P1" s="266" t="s">
        <v>96</v>
      </c>
      <c r="Q1" s="266" t="s">
        <v>97</v>
      </c>
      <c r="R1" s="266" t="s">
        <v>98</v>
      </c>
      <c r="S1" s="266" t="s">
        <v>161</v>
      </c>
    </row>
    <row r="2" spans="1:19" s="171" customFormat="1" ht="30" x14ac:dyDescent="0.25">
      <c r="A2" s="268" t="s">
        <v>170</v>
      </c>
      <c r="B2" s="269"/>
      <c r="C2" s="270">
        <v>30</v>
      </c>
      <c r="D2" s="269">
        <v>77</v>
      </c>
      <c r="E2" s="269">
        <v>19.100000000000001</v>
      </c>
      <c r="F2" s="269">
        <v>50</v>
      </c>
      <c r="G2" s="270">
        <v>7.5</v>
      </c>
      <c r="H2" s="269" t="s">
        <v>171</v>
      </c>
      <c r="I2" s="269"/>
      <c r="J2" s="271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170" customFormat="1" x14ac:dyDescent="0.25">
      <c r="A3" s="263"/>
      <c r="B3" s="264"/>
      <c r="C3" s="265" t="s">
        <v>99</v>
      </c>
      <c r="D3" s="264" t="s">
        <v>100</v>
      </c>
      <c r="E3" s="264" t="s">
        <v>101</v>
      </c>
      <c r="F3" s="264" t="s">
        <v>102</v>
      </c>
      <c r="G3" s="265"/>
      <c r="H3" s="264" t="s">
        <v>103</v>
      </c>
      <c r="I3" s="264"/>
      <c r="J3" s="272"/>
      <c r="K3" s="267"/>
      <c r="L3" s="267"/>
      <c r="M3" s="266"/>
      <c r="N3" s="266"/>
      <c r="O3" s="266"/>
      <c r="P3" s="266"/>
      <c r="Q3" s="266"/>
      <c r="R3" s="266"/>
      <c r="S3" s="266"/>
    </row>
    <row r="4" spans="1:19" x14ac:dyDescent="0.25">
      <c r="A4" s="148" t="s">
        <v>104</v>
      </c>
      <c r="B4" s="149">
        <v>2022</v>
      </c>
      <c r="C4" s="150">
        <v>15.792</v>
      </c>
      <c r="D4" s="150">
        <v>22.372</v>
      </c>
      <c r="E4" s="150">
        <v>18.256</v>
      </c>
      <c r="F4" s="150">
        <v>15.052</v>
      </c>
      <c r="G4" s="150"/>
      <c r="H4" s="150">
        <v>21.05</v>
      </c>
      <c r="I4" s="150"/>
      <c r="J4" s="151"/>
      <c r="K4" s="150"/>
      <c r="L4" s="150"/>
      <c r="M4" s="152"/>
      <c r="N4" s="152"/>
      <c r="O4" s="152"/>
      <c r="P4" s="152"/>
      <c r="Q4" s="152"/>
      <c r="R4" s="152"/>
      <c r="S4" s="152"/>
    </row>
    <row r="5" spans="1:19" x14ac:dyDescent="0.25">
      <c r="A5" s="173" t="s">
        <v>104</v>
      </c>
      <c r="B5" s="174">
        <v>2023</v>
      </c>
      <c r="C5" s="153">
        <v>16.707999999999998</v>
      </c>
      <c r="D5" s="153">
        <v>23.67</v>
      </c>
      <c r="E5" s="153">
        <v>19.315000000000001</v>
      </c>
      <c r="F5" s="153">
        <v>15.925000000000001</v>
      </c>
      <c r="G5" s="153"/>
      <c r="H5" s="153">
        <v>22.271000000000001</v>
      </c>
      <c r="I5" s="153"/>
      <c r="J5" s="154"/>
      <c r="K5" s="153"/>
      <c r="L5" s="153"/>
      <c r="M5" s="155"/>
      <c r="N5" s="155"/>
      <c r="O5" s="155"/>
      <c r="P5" s="155"/>
      <c r="Q5" s="155"/>
      <c r="R5" s="155"/>
      <c r="S5" s="155"/>
    </row>
    <row r="6" spans="1:19" x14ac:dyDescent="0.25">
      <c r="A6" s="148" t="s">
        <v>162</v>
      </c>
      <c r="B6" s="149">
        <v>2022</v>
      </c>
      <c r="C6" s="150">
        <v>15.49</v>
      </c>
      <c r="D6" s="150">
        <v>22.02</v>
      </c>
      <c r="E6" s="150">
        <v>17.829999999999998</v>
      </c>
      <c r="F6" s="150">
        <v>14.81</v>
      </c>
      <c r="G6" s="150">
        <v>25.227</v>
      </c>
      <c r="H6" s="150">
        <v>20.75</v>
      </c>
      <c r="I6" s="150"/>
      <c r="J6" s="151"/>
      <c r="K6" s="150"/>
      <c r="L6" s="150"/>
      <c r="M6" s="152"/>
      <c r="N6" s="152"/>
      <c r="O6" s="152"/>
      <c r="P6" s="152"/>
      <c r="Q6" s="152"/>
      <c r="R6" s="152"/>
      <c r="S6" s="152"/>
    </row>
    <row r="7" spans="1:19" x14ac:dyDescent="0.25">
      <c r="A7" s="173" t="s">
        <v>162</v>
      </c>
      <c r="B7" s="174">
        <v>2023</v>
      </c>
      <c r="C7" s="153">
        <v>16.45</v>
      </c>
      <c r="D7" s="153">
        <v>23.38</v>
      </c>
      <c r="E7" s="153">
        <v>18.93</v>
      </c>
      <c r="F7" s="153">
        <v>15.72</v>
      </c>
      <c r="G7" s="153">
        <v>26.7</v>
      </c>
      <c r="H7" s="153">
        <v>22.03</v>
      </c>
      <c r="I7" s="153"/>
      <c r="J7" s="154"/>
      <c r="K7" s="153"/>
      <c r="L7" s="153"/>
      <c r="M7" s="155"/>
      <c r="N7" s="155"/>
      <c r="O7" s="155"/>
      <c r="P7" s="155"/>
      <c r="Q7" s="155"/>
      <c r="R7" s="155"/>
      <c r="S7" s="155"/>
    </row>
    <row r="8" spans="1:19" x14ac:dyDescent="0.25">
      <c r="A8" s="148" t="s">
        <v>106</v>
      </c>
      <c r="B8" s="149">
        <v>2022</v>
      </c>
      <c r="C8" s="150">
        <v>15.304</v>
      </c>
      <c r="D8" s="150">
        <v>21.681000000000001</v>
      </c>
      <c r="E8" s="150">
        <v>13.983000000000001</v>
      </c>
      <c r="F8" s="150">
        <v>14.589</v>
      </c>
      <c r="G8" s="150">
        <v>0</v>
      </c>
      <c r="H8" s="150">
        <v>19.832000000000001</v>
      </c>
      <c r="I8" s="150"/>
      <c r="J8" s="151"/>
      <c r="K8" s="150"/>
      <c r="L8" s="150"/>
      <c r="M8" s="152"/>
      <c r="N8" s="152"/>
      <c r="O8" s="152"/>
      <c r="P8" s="152"/>
      <c r="Q8" s="152"/>
      <c r="R8" s="152"/>
      <c r="S8" s="152"/>
    </row>
    <row r="9" spans="1:19" x14ac:dyDescent="0.25">
      <c r="A9" s="173" t="s">
        <v>106</v>
      </c>
      <c r="B9" s="174">
        <v>2023</v>
      </c>
      <c r="C9" s="153">
        <v>16.192</v>
      </c>
      <c r="D9" s="153">
        <v>22.937999999999999</v>
      </c>
      <c r="E9" s="153">
        <v>14.794</v>
      </c>
      <c r="F9" s="153">
        <v>15.435</v>
      </c>
      <c r="G9" s="153">
        <v>0</v>
      </c>
      <c r="H9" s="153">
        <v>20.981999999999999</v>
      </c>
      <c r="I9" s="153"/>
      <c r="J9" s="154"/>
      <c r="K9" s="153"/>
      <c r="L9" s="153"/>
      <c r="M9" s="153"/>
      <c r="N9" s="153"/>
      <c r="O9" s="153"/>
      <c r="P9" s="153"/>
      <c r="Q9" s="155"/>
      <c r="R9" s="155"/>
      <c r="S9" s="155"/>
    </row>
    <row r="10" spans="1:19" x14ac:dyDescent="0.25">
      <c r="A10" s="148" t="s">
        <v>107</v>
      </c>
      <c r="B10" s="149">
        <v>2022</v>
      </c>
      <c r="C10" s="150">
        <v>15.52</v>
      </c>
      <c r="D10" s="150">
        <v>21.998000000000001</v>
      </c>
      <c r="E10" s="150">
        <v>17.442</v>
      </c>
      <c r="F10" s="150">
        <v>14.8</v>
      </c>
      <c r="G10" s="150">
        <v>0</v>
      </c>
      <c r="H10" s="150">
        <v>20.116</v>
      </c>
      <c r="I10" s="150"/>
      <c r="J10" s="151"/>
      <c r="K10" s="150"/>
      <c r="L10" s="150"/>
      <c r="M10" s="152"/>
      <c r="N10" s="152"/>
      <c r="O10" s="152"/>
      <c r="P10" s="152"/>
      <c r="Q10" s="152"/>
      <c r="R10" s="152"/>
      <c r="S10" s="152"/>
    </row>
    <row r="11" spans="1:19" x14ac:dyDescent="0.25">
      <c r="A11" s="173" t="s">
        <v>107</v>
      </c>
      <c r="B11" s="174">
        <v>2023</v>
      </c>
      <c r="C11" s="153">
        <v>16.422000000000001</v>
      </c>
      <c r="D11" s="153">
        <v>23.263000000000002</v>
      </c>
      <c r="E11" s="153">
        <v>17.442</v>
      </c>
      <c r="F11" s="153">
        <v>15.657999999999999</v>
      </c>
      <c r="G11" s="153">
        <v>0</v>
      </c>
      <c r="H11" s="153">
        <v>21.283000000000001</v>
      </c>
      <c r="I11" s="153"/>
      <c r="J11" s="154"/>
      <c r="K11" s="153"/>
      <c r="L11" s="153"/>
      <c r="M11" s="155"/>
      <c r="N11" s="155"/>
      <c r="O11" s="155"/>
      <c r="P11" s="155"/>
      <c r="Q11" s="155"/>
      <c r="R11" s="155"/>
      <c r="S11" s="155"/>
    </row>
    <row r="12" spans="1:19" x14ac:dyDescent="0.25">
      <c r="A12" s="148" t="s">
        <v>108</v>
      </c>
      <c r="B12" s="149">
        <v>2022</v>
      </c>
      <c r="C12" s="150">
        <v>15.52</v>
      </c>
      <c r="D12" s="150">
        <v>21.99</v>
      </c>
      <c r="E12" s="150">
        <v>17.809999999999999</v>
      </c>
      <c r="F12" s="150">
        <v>14.81</v>
      </c>
      <c r="G12" s="150">
        <v>25.2</v>
      </c>
      <c r="H12" s="150">
        <v>20.73</v>
      </c>
      <c r="I12" s="150"/>
      <c r="J12" s="151"/>
      <c r="K12" s="150"/>
      <c r="L12" s="150"/>
      <c r="M12" s="152"/>
      <c r="N12" s="152"/>
      <c r="O12" s="152"/>
      <c r="P12" s="152"/>
      <c r="Q12" s="152"/>
      <c r="R12" s="152"/>
      <c r="S12" s="152"/>
    </row>
    <row r="13" spans="1:19" x14ac:dyDescent="0.25">
      <c r="A13" s="173" t="s">
        <v>108</v>
      </c>
      <c r="B13" s="174">
        <v>2023</v>
      </c>
      <c r="C13" s="153">
        <v>15.52</v>
      </c>
      <c r="D13" s="153">
        <v>21.99</v>
      </c>
      <c r="E13" s="153">
        <v>17.809999999999999</v>
      </c>
      <c r="F13" s="153">
        <v>14.81</v>
      </c>
      <c r="G13" s="153">
        <v>25.2</v>
      </c>
      <c r="H13" s="153">
        <v>20.73</v>
      </c>
      <c r="I13" s="153"/>
      <c r="J13" s="154"/>
      <c r="K13" s="153"/>
      <c r="L13" s="153"/>
      <c r="M13" s="155"/>
      <c r="N13" s="155"/>
      <c r="O13" s="155"/>
      <c r="P13" s="155"/>
      <c r="Q13" s="155"/>
      <c r="R13" s="155"/>
      <c r="S13" s="155"/>
    </row>
    <row r="14" spans="1:19" x14ac:dyDescent="0.25">
      <c r="A14" s="148" t="s">
        <v>109</v>
      </c>
      <c r="B14" s="149">
        <v>2022</v>
      </c>
      <c r="C14" s="150">
        <v>14.76</v>
      </c>
      <c r="D14" s="150">
        <v>20.912987012987013</v>
      </c>
      <c r="E14" s="150">
        <v>0</v>
      </c>
      <c r="F14" s="150">
        <v>14.068</v>
      </c>
      <c r="G14" s="150">
        <v>23.853333333333335</v>
      </c>
      <c r="H14" s="150">
        <v>19.696629213483146</v>
      </c>
      <c r="I14" s="150"/>
      <c r="J14" s="151"/>
      <c r="K14" s="150"/>
      <c r="L14" s="150"/>
      <c r="M14" s="152"/>
      <c r="N14" s="152"/>
      <c r="O14" s="152"/>
      <c r="P14" s="152"/>
      <c r="Q14" s="152"/>
      <c r="R14" s="152"/>
      <c r="S14" s="152"/>
    </row>
    <row r="15" spans="1:19" x14ac:dyDescent="0.25">
      <c r="A15" s="148" t="s">
        <v>110</v>
      </c>
      <c r="B15" s="149">
        <v>2022</v>
      </c>
      <c r="C15" s="150">
        <v>15.176666666666668</v>
      </c>
      <c r="D15" s="150">
        <v>21.5</v>
      </c>
      <c r="E15" s="150">
        <v>0</v>
      </c>
      <c r="F15" s="150">
        <v>14.468</v>
      </c>
      <c r="G15" s="150">
        <v>24.52</v>
      </c>
      <c r="H15" s="150">
        <v>20.238805970149251</v>
      </c>
      <c r="I15" s="150"/>
      <c r="J15" s="151"/>
      <c r="K15" s="150"/>
      <c r="L15" s="150"/>
      <c r="M15" s="152"/>
      <c r="N15" s="152"/>
      <c r="O15" s="152"/>
      <c r="P15" s="152"/>
      <c r="Q15" s="152"/>
      <c r="R15" s="152"/>
      <c r="S15" s="152"/>
    </row>
    <row r="16" spans="1:19" x14ac:dyDescent="0.25">
      <c r="A16" s="148" t="s">
        <v>111</v>
      </c>
      <c r="B16" s="149">
        <v>2022</v>
      </c>
      <c r="C16" s="150">
        <v>15.176666666666668</v>
      </c>
      <c r="D16" s="150">
        <v>21.5</v>
      </c>
      <c r="E16" s="150">
        <v>0</v>
      </c>
      <c r="F16" s="150">
        <v>14.468</v>
      </c>
      <c r="G16" s="150">
        <v>24.52</v>
      </c>
      <c r="H16" s="150">
        <v>20.238805970149251</v>
      </c>
      <c r="I16" s="150"/>
      <c r="J16" s="151"/>
      <c r="K16" s="150"/>
      <c r="L16" s="150"/>
      <c r="M16" s="152"/>
      <c r="N16" s="152"/>
      <c r="O16" s="152"/>
      <c r="P16" s="152"/>
      <c r="Q16" s="152"/>
      <c r="R16" s="152"/>
      <c r="S16" s="152"/>
    </row>
    <row r="17" spans="1:19" ht="90" x14ac:dyDescent="0.25">
      <c r="A17" s="156" t="s">
        <v>172</v>
      </c>
      <c r="B17" s="149">
        <v>2022</v>
      </c>
      <c r="C17" s="150">
        <v>15.696666666666665</v>
      </c>
      <c r="D17" s="150">
        <v>22.228571428571428</v>
      </c>
      <c r="E17" s="150">
        <v>18.141361256544503</v>
      </c>
      <c r="F17" s="150">
        <v>14.96</v>
      </c>
      <c r="G17" s="150">
        <v>25.373333333333335</v>
      </c>
      <c r="H17" s="150">
        <v>20.917910447761194</v>
      </c>
      <c r="I17" s="150"/>
      <c r="J17" s="151"/>
      <c r="K17" s="150">
        <v>0</v>
      </c>
      <c r="L17" s="150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</row>
    <row r="18" spans="1:19" x14ac:dyDescent="0.25">
      <c r="A18" s="148" t="s">
        <v>112</v>
      </c>
      <c r="B18" s="149">
        <v>2022</v>
      </c>
      <c r="C18" s="150">
        <v>16.2</v>
      </c>
      <c r="D18" s="150">
        <v>23.075324675324676</v>
      </c>
      <c r="E18" s="150">
        <v>12.486910994764397</v>
      </c>
      <c r="F18" s="150">
        <v>15.444000000000001</v>
      </c>
      <c r="G18" s="150">
        <v>26.16</v>
      </c>
      <c r="H18" s="150">
        <v>14.365671641791044</v>
      </c>
      <c r="I18" s="150"/>
      <c r="J18" s="151"/>
      <c r="K18" s="150"/>
      <c r="L18" s="150"/>
      <c r="M18" s="152"/>
      <c r="N18" s="152"/>
      <c r="O18" s="152"/>
      <c r="P18" s="152"/>
      <c r="Q18" s="152"/>
      <c r="R18" s="152"/>
      <c r="S18" s="152"/>
    </row>
    <row r="19" spans="1:19" x14ac:dyDescent="0.25">
      <c r="A19" s="148" t="s">
        <v>113</v>
      </c>
      <c r="B19" s="149">
        <v>2022</v>
      </c>
      <c r="C19" s="150">
        <v>20.69</v>
      </c>
      <c r="D19" s="150">
        <v>29.32987012987013</v>
      </c>
      <c r="E19" s="150">
        <v>23.95287958115183</v>
      </c>
      <c r="F19" s="150">
        <v>19.734000000000002</v>
      </c>
      <c r="G19" s="150">
        <v>33.479999999999997</v>
      </c>
      <c r="H19" s="150">
        <v>27.604477611940297</v>
      </c>
      <c r="I19" s="150"/>
      <c r="J19" s="151"/>
      <c r="K19" s="150"/>
      <c r="L19" s="150"/>
      <c r="M19" s="152"/>
      <c r="N19" s="152"/>
      <c r="O19" s="152"/>
      <c r="P19" s="152"/>
      <c r="Q19" s="152"/>
      <c r="R19" s="152"/>
      <c r="S19" s="152"/>
    </row>
    <row r="20" spans="1:19" x14ac:dyDescent="0.25">
      <c r="A20" s="148" t="s">
        <v>114</v>
      </c>
      <c r="B20" s="149">
        <v>2022</v>
      </c>
      <c r="C20" s="150">
        <v>20.69</v>
      </c>
      <c r="D20" s="150">
        <v>29.32987012987013</v>
      </c>
      <c r="E20" s="150">
        <v>23.95287958115183</v>
      </c>
      <c r="F20" s="150">
        <v>19.734000000000002</v>
      </c>
      <c r="G20" s="150">
        <v>33.479999999999997</v>
      </c>
      <c r="H20" s="150">
        <v>27.604477611940297</v>
      </c>
      <c r="I20" s="150"/>
      <c r="J20" s="151"/>
      <c r="K20" s="150"/>
      <c r="L20" s="150"/>
      <c r="M20" s="152"/>
      <c r="N20" s="152"/>
      <c r="O20" s="152"/>
      <c r="P20" s="152"/>
      <c r="Q20" s="152"/>
      <c r="R20" s="152"/>
      <c r="S20" s="152"/>
    </row>
    <row r="21" spans="1:19" ht="105" x14ac:dyDescent="0.25">
      <c r="A21" s="156" t="s">
        <v>115</v>
      </c>
      <c r="B21" s="149">
        <v>2022</v>
      </c>
      <c r="C21" s="150">
        <v>20.7</v>
      </c>
      <c r="D21" s="150">
        <v>29.32987012987013</v>
      </c>
      <c r="E21" s="150">
        <v>18.408376963350786</v>
      </c>
      <c r="F21" s="150">
        <v>19.736000000000001</v>
      </c>
      <c r="G21" s="150">
        <v>33.479999999999997</v>
      </c>
      <c r="H21" s="150">
        <v>21.231343283582088</v>
      </c>
      <c r="I21" s="150"/>
      <c r="J21" s="151"/>
      <c r="K21" s="150"/>
      <c r="L21" s="150"/>
      <c r="M21" s="152"/>
      <c r="N21" s="152"/>
      <c r="O21" s="152"/>
      <c r="P21" s="152"/>
      <c r="Q21" s="152"/>
      <c r="R21" s="152"/>
      <c r="S21" s="152"/>
    </row>
    <row r="22" spans="1:19" x14ac:dyDescent="0.25">
      <c r="A22" s="173" t="s">
        <v>109</v>
      </c>
      <c r="B22" s="174">
        <v>2023</v>
      </c>
      <c r="C22" s="153">
        <f>468.9/30</f>
        <v>15.629999999999999</v>
      </c>
      <c r="D22" s="153">
        <f>1705.3/77</f>
        <v>22.146753246753246</v>
      </c>
      <c r="E22" s="153">
        <f>230.1/19.1</f>
        <v>12.047120418848166</v>
      </c>
      <c r="F22" s="153">
        <f>744.9/50</f>
        <v>14.898</v>
      </c>
      <c r="G22" s="153">
        <f>189.5/7.5</f>
        <v>25.266666666666666</v>
      </c>
      <c r="H22" s="153">
        <f>185.6/8.9</f>
        <v>20.853932584269661</v>
      </c>
      <c r="I22" s="153"/>
      <c r="J22" s="154"/>
      <c r="K22" s="153"/>
      <c r="L22" s="153"/>
      <c r="M22" s="155"/>
      <c r="N22" s="155"/>
      <c r="O22" s="155"/>
      <c r="P22" s="155"/>
      <c r="Q22" s="155"/>
      <c r="R22" s="155"/>
      <c r="S22" s="155"/>
    </row>
    <row r="23" spans="1:19" x14ac:dyDescent="0.25">
      <c r="A23" s="173" t="s">
        <v>110</v>
      </c>
      <c r="B23" s="174">
        <v>2023</v>
      </c>
      <c r="C23" s="153">
        <f>482.2/30</f>
        <v>16.073333333333334</v>
      </c>
      <c r="D23" s="153">
        <f>1753.2/77</f>
        <v>22.76883116883117</v>
      </c>
      <c r="E23" s="153">
        <f>354.8/19.1</f>
        <v>18.575916230366492</v>
      </c>
      <c r="F23" s="153">
        <f>766.1/50</f>
        <v>15.322000000000001</v>
      </c>
      <c r="G23" s="153">
        <f>194.8/7.5</f>
        <v>25.973333333333336</v>
      </c>
      <c r="H23" s="153">
        <f>287.2/13.4</f>
        <v>21.432835820895519</v>
      </c>
      <c r="I23" s="153"/>
      <c r="J23" s="154"/>
      <c r="K23" s="153"/>
      <c r="L23" s="153"/>
      <c r="M23" s="155"/>
      <c r="N23" s="155"/>
      <c r="O23" s="155"/>
      <c r="P23" s="155"/>
      <c r="Q23" s="155"/>
      <c r="R23" s="155"/>
      <c r="S23" s="155"/>
    </row>
    <row r="24" spans="1:19" x14ac:dyDescent="0.25">
      <c r="A24" s="173" t="s">
        <v>111</v>
      </c>
      <c r="B24" s="174">
        <v>2023</v>
      </c>
      <c r="C24" s="273">
        <f t="shared" ref="C24:H24" si="0">C23</f>
        <v>16.073333333333334</v>
      </c>
      <c r="D24" s="273">
        <f t="shared" si="0"/>
        <v>22.76883116883117</v>
      </c>
      <c r="E24" s="273">
        <f t="shared" si="0"/>
        <v>18.575916230366492</v>
      </c>
      <c r="F24" s="273">
        <f t="shared" si="0"/>
        <v>15.322000000000001</v>
      </c>
      <c r="G24" s="273">
        <f t="shared" si="0"/>
        <v>25.973333333333336</v>
      </c>
      <c r="H24" s="273">
        <f t="shared" si="0"/>
        <v>21.432835820895519</v>
      </c>
      <c r="I24" s="153"/>
      <c r="J24" s="154"/>
      <c r="K24" s="153"/>
      <c r="L24" s="153"/>
      <c r="M24" s="155"/>
      <c r="N24" s="155"/>
      <c r="O24" s="155"/>
      <c r="P24" s="155"/>
      <c r="Q24" s="155"/>
      <c r="R24" s="155"/>
      <c r="S24" s="155"/>
    </row>
    <row r="25" spans="1:19" ht="90" x14ac:dyDescent="0.25">
      <c r="A25" s="175" t="s">
        <v>172</v>
      </c>
      <c r="B25" s="174">
        <v>2023</v>
      </c>
      <c r="C25" s="153">
        <f>492.4/30</f>
        <v>16.413333333333334</v>
      </c>
      <c r="D25" s="153">
        <f>1790.3/77</f>
        <v>23.250649350649351</v>
      </c>
      <c r="E25" s="153">
        <f>362.4/19.1</f>
        <v>18.973821989528794</v>
      </c>
      <c r="F25" s="153">
        <f>782.2/50</f>
        <v>15.644</v>
      </c>
      <c r="G25" s="153">
        <f>199.2/7.5</f>
        <v>26.56</v>
      </c>
      <c r="H25" s="153">
        <f>293.2/13.4</f>
        <v>21.880597014925371</v>
      </c>
      <c r="I25" s="153"/>
      <c r="J25" s="153"/>
      <c r="K25" s="153">
        <f t="shared" ref="K25:S25" si="1">K31:Z31</f>
        <v>0</v>
      </c>
      <c r="L25" s="153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3">
        <f t="shared" si="1"/>
        <v>0</v>
      </c>
      <c r="R25" s="153">
        <f t="shared" si="1"/>
        <v>0</v>
      </c>
      <c r="S25" s="153">
        <f t="shared" si="1"/>
        <v>0</v>
      </c>
    </row>
    <row r="26" spans="1:19" x14ac:dyDescent="0.25">
      <c r="A26" s="173" t="s">
        <v>112</v>
      </c>
      <c r="B26" s="174">
        <v>2023</v>
      </c>
      <c r="C26" s="153">
        <f>518.3/30</f>
        <v>17.276666666666664</v>
      </c>
      <c r="D26" s="153">
        <f>1884.3/77</f>
        <v>24.471428571428572</v>
      </c>
      <c r="E26" s="153">
        <f>254.4/19.1</f>
        <v>13.31937172774869</v>
      </c>
      <c r="F26" s="153">
        <f>823.6/50</f>
        <v>16.472000000000001</v>
      </c>
      <c r="G26" s="153">
        <f>209.2/7.5</f>
        <v>27.893333333333331</v>
      </c>
      <c r="H26" s="153">
        <f>205.3/8.9</f>
        <v>23.067415730337078</v>
      </c>
      <c r="I26" s="153"/>
      <c r="J26" s="154"/>
      <c r="K26" s="153"/>
      <c r="L26" s="153"/>
      <c r="M26" s="155"/>
      <c r="N26" s="155"/>
      <c r="O26" s="155"/>
      <c r="P26" s="155"/>
      <c r="Q26" s="155"/>
      <c r="R26" s="155"/>
      <c r="S26" s="155"/>
    </row>
    <row r="27" spans="1:19" x14ac:dyDescent="0.25">
      <c r="A27" s="173" t="s">
        <v>113</v>
      </c>
      <c r="B27" s="174">
        <v>2023</v>
      </c>
      <c r="C27" s="273">
        <f>C28</f>
        <v>22.066666666666666</v>
      </c>
      <c r="D27" s="273">
        <f t="shared" ref="D27:H27" si="2">D28</f>
        <v>31.28051948051948</v>
      </c>
      <c r="E27" s="273">
        <f t="shared" si="2"/>
        <v>25.523560209424083</v>
      </c>
      <c r="F27" s="273">
        <f t="shared" si="2"/>
        <v>21.045999999999999</v>
      </c>
      <c r="G27" s="273">
        <f t="shared" si="2"/>
        <v>35.706666666666671</v>
      </c>
      <c r="H27" s="273">
        <f t="shared" si="2"/>
        <v>29.440298507462686</v>
      </c>
      <c r="I27" s="153"/>
      <c r="J27" s="154"/>
      <c r="K27" s="153"/>
      <c r="L27" s="153"/>
      <c r="M27" s="155"/>
      <c r="N27" s="155"/>
      <c r="O27" s="155"/>
      <c r="P27" s="155"/>
      <c r="Q27" s="155"/>
      <c r="R27" s="155"/>
      <c r="S27" s="155"/>
    </row>
    <row r="28" spans="1:19" x14ac:dyDescent="0.25">
      <c r="A28" s="173" t="s">
        <v>114</v>
      </c>
      <c r="B28" s="174">
        <v>2023</v>
      </c>
      <c r="C28" s="153">
        <f>662/30</f>
        <v>22.066666666666666</v>
      </c>
      <c r="D28" s="153">
        <f>2408.6/77</f>
        <v>31.28051948051948</v>
      </c>
      <c r="E28" s="153">
        <f>487.5/19.1</f>
        <v>25.523560209424083</v>
      </c>
      <c r="F28" s="153">
        <f>1052.3/50</f>
        <v>21.045999999999999</v>
      </c>
      <c r="G28" s="153">
        <f>267.8/7.5</f>
        <v>35.706666666666671</v>
      </c>
      <c r="H28" s="153">
        <f>394.5/13.4</f>
        <v>29.440298507462686</v>
      </c>
      <c r="I28" s="153"/>
      <c r="J28" s="154"/>
      <c r="K28" s="153"/>
      <c r="L28" s="153"/>
      <c r="M28" s="155"/>
      <c r="N28" s="155"/>
      <c r="O28" s="155"/>
      <c r="P28" s="155"/>
      <c r="Q28" s="155"/>
      <c r="R28" s="155"/>
      <c r="S28" s="155"/>
    </row>
    <row r="29" spans="1:19" ht="105" x14ac:dyDescent="0.25">
      <c r="A29" s="175" t="s">
        <v>115</v>
      </c>
      <c r="B29" s="174">
        <v>2023</v>
      </c>
      <c r="C29" s="153">
        <f>662.3/30</f>
        <v>22.076666666666664</v>
      </c>
      <c r="D29" s="153">
        <f>2408.6/77</f>
        <v>31.28051948051948</v>
      </c>
      <c r="E29" s="153">
        <f>375/19.1</f>
        <v>19.633507853403138</v>
      </c>
      <c r="F29" s="153">
        <f>1052.4/50</f>
        <v>21.048000000000002</v>
      </c>
      <c r="G29" s="153">
        <f>267.9/13.4</f>
        <v>19.992537313432834</v>
      </c>
      <c r="H29" s="153">
        <f>303.4/13.4</f>
        <v>22.641791044776117</v>
      </c>
      <c r="I29" s="153"/>
      <c r="J29" s="154"/>
      <c r="K29" s="153"/>
      <c r="L29" s="153"/>
      <c r="M29" s="155"/>
      <c r="N29" s="155"/>
      <c r="O29" s="155"/>
      <c r="P29" s="155"/>
      <c r="Q29" s="155"/>
      <c r="R29" s="155"/>
      <c r="S29" s="155"/>
    </row>
    <row r="30" spans="1:19" x14ac:dyDescent="0.25">
      <c r="A30" s="148" t="s">
        <v>116</v>
      </c>
      <c r="B30" s="149">
        <v>2022</v>
      </c>
      <c r="C30" s="150"/>
      <c r="D30" s="150"/>
      <c r="E30" s="150"/>
      <c r="F30" s="150"/>
      <c r="G30" s="150"/>
      <c r="H30" s="150"/>
      <c r="I30" s="150"/>
      <c r="J30" s="151"/>
      <c r="K30" s="150"/>
      <c r="L30" s="150"/>
      <c r="M30" s="152"/>
      <c r="N30" s="152"/>
      <c r="O30" s="152"/>
      <c r="P30" s="152"/>
      <c r="Q30" s="152"/>
      <c r="R30" s="152"/>
      <c r="S30" s="152"/>
    </row>
    <row r="31" spans="1:19" x14ac:dyDescent="0.25">
      <c r="A31" s="173" t="s">
        <v>116</v>
      </c>
      <c r="B31" s="174">
        <v>2023</v>
      </c>
      <c r="C31" s="153"/>
      <c r="D31" s="153"/>
      <c r="E31" s="153"/>
      <c r="F31" s="153"/>
      <c r="G31" s="153"/>
      <c r="H31" s="153"/>
      <c r="I31" s="153"/>
      <c r="J31" s="154"/>
      <c r="K31" s="153"/>
      <c r="L31" s="153"/>
      <c r="M31" s="155"/>
      <c r="N31" s="155"/>
      <c r="O31" s="155"/>
      <c r="P31" s="155"/>
      <c r="Q31" s="155"/>
      <c r="R31" s="155"/>
      <c r="S31" s="155"/>
    </row>
    <row r="32" spans="1:19" x14ac:dyDescent="0.25">
      <c r="A32" s="148" t="s">
        <v>117</v>
      </c>
      <c r="B32" s="149">
        <v>2022</v>
      </c>
      <c r="C32" s="150">
        <v>16.57</v>
      </c>
      <c r="D32" s="150">
        <v>23.453246753246756</v>
      </c>
      <c r="E32" s="150">
        <v>12.764397905759163</v>
      </c>
      <c r="F32" s="150">
        <v>15.788</v>
      </c>
      <c r="G32" s="150">
        <v>29.986666666666668</v>
      </c>
      <c r="H32" s="150"/>
      <c r="I32" s="150">
        <v>26.713000000000001</v>
      </c>
      <c r="J32" s="151">
        <v>29.986999999999998</v>
      </c>
      <c r="K32" s="150"/>
      <c r="L32" s="150"/>
      <c r="M32" s="152"/>
      <c r="N32" s="152"/>
      <c r="O32" s="152"/>
      <c r="P32" s="152"/>
      <c r="Q32" s="152"/>
      <c r="R32" s="152"/>
      <c r="S32" s="152"/>
    </row>
    <row r="33" spans="1:19" x14ac:dyDescent="0.25">
      <c r="A33" s="173" t="s">
        <v>117</v>
      </c>
      <c r="B33" s="174">
        <v>2023</v>
      </c>
      <c r="C33" s="153">
        <v>17.632999999999999</v>
      </c>
      <c r="D33" s="153">
        <v>24.978000000000002</v>
      </c>
      <c r="E33" s="153">
        <v>20.384</v>
      </c>
      <c r="F33" s="153">
        <v>16.808</v>
      </c>
      <c r="G33" s="153">
        <v>31.92</v>
      </c>
      <c r="H33" s="153"/>
      <c r="I33" s="153">
        <v>28.472999999999999</v>
      </c>
      <c r="J33" s="154">
        <v>31.92</v>
      </c>
      <c r="K33" s="153"/>
      <c r="L33" s="153"/>
      <c r="M33" s="155"/>
      <c r="N33" s="155"/>
      <c r="O33" s="155"/>
      <c r="P33" s="155"/>
      <c r="Q33" s="155"/>
      <c r="R33" s="155"/>
      <c r="S33" s="155"/>
    </row>
    <row r="34" spans="1:19" x14ac:dyDescent="0.25">
      <c r="A34" s="148" t="s">
        <v>180</v>
      </c>
      <c r="B34" s="149">
        <v>2022</v>
      </c>
      <c r="C34" s="150">
        <v>16.46</v>
      </c>
      <c r="D34" s="150">
        <v>23.4</v>
      </c>
      <c r="E34" s="150">
        <v>18.95</v>
      </c>
      <c r="F34" s="150">
        <v>15.77</v>
      </c>
      <c r="G34" s="150">
        <v>0</v>
      </c>
      <c r="H34" s="150">
        <v>22.07</v>
      </c>
      <c r="I34" s="150"/>
      <c r="J34" s="151"/>
      <c r="K34" s="150"/>
      <c r="L34" s="150"/>
      <c r="M34" s="152"/>
      <c r="N34" s="152"/>
      <c r="O34" s="152"/>
      <c r="P34" s="152"/>
      <c r="Q34" s="152"/>
      <c r="R34" s="152"/>
      <c r="S34" s="152"/>
    </row>
    <row r="35" spans="1:19" x14ac:dyDescent="0.25">
      <c r="A35" s="173" t="s">
        <v>180</v>
      </c>
      <c r="B35" s="174">
        <v>2023</v>
      </c>
      <c r="C35" s="153">
        <v>17.43</v>
      </c>
      <c r="D35" s="153">
        <v>24.78</v>
      </c>
      <c r="E35" s="153">
        <v>20.059999999999999</v>
      </c>
      <c r="F35" s="153">
        <v>16.7</v>
      </c>
      <c r="G35" s="153">
        <v>0</v>
      </c>
      <c r="H35" s="153">
        <v>23.37</v>
      </c>
      <c r="I35" s="153"/>
      <c r="J35" s="154"/>
      <c r="K35" s="153"/>
      <c r="L35" s="153"/>
      <c r="M35" s="155"/>
      <c r="N35" s="155"/>
      <c r="O35" s="155"/>
      <c r="P35" s="155"/>
      <c r="Q35" s="155"/>
      <c r="R35" s="155"/>
      <c r="S35" s="155"/>
    </row>
    <row r="36" spans="1:19" x14ac:dyDescent="0.25">
      <c r="A36" s="148" t="s">
        <v>118</v>
      </c>
      <c r="B36" s="149">
        <v>2022</v>
      </c>
      <c r="C36" s="239">
        <v>16.247</v>
      </c>
      <c r="D36" s="150">
        <v>23.021999999999998</v>
      </c>
      <c r="E36" s="150">
        <v>12.529</v>
      </c>
      <c r="F36" s="150">
        <v>15.492000000000001</v>
      </c>
      <c r="G36" s="150">
        <v>26.24</v>
      </c>
      <c r="H36" s="150">
        <v>14.231</v>
      </c>
      <c r="I36" s="150"/>
      <c r="J36" s="151"/>
      <c r="K36" s="150"/>
      <c r="L36" s="150"/>
      <c r="M36" s="152"/>
      <c r="N36" s="152"/>
      <c r="O36" s="152"/>
      <c r="P36" s="152"/>
      <c r="Q36" s="152"/>
      <c r="R36" s="152"/>
      <c r="S36" s="152"/>
    </row>
    <row r="37" spans="1:19" x14ac:dyDescent="0.25">
      <c r="A37" s="173" t="s">
        <v>118</v>
      </c>
      <c r="B37" s="174">
        <v>2023</v>
      </c>
      <c r="C37" s="240">
        <f>512.7/30</f>
        <v>17.09</v>
      </c>
      <c r="D37" s="153">
        <f>C37/C36*D36</f>
        <v>24.216531051886498</v>
      </c>
      <c r="E37" s="153">
        <f>251.7/19.1</f>
        <v>13.178010471204187</v>
      </c>
      <c r="F37" s="153">
        <f>814.9/50</f>
        <v>16.297999999999998</v>
      </c>
      <c r="G37" s="153">
        <f>207/7.5</f>
        <v>27.6</v>
      </c>
      <c r="H37" s="153">
        <f>200.6/13.4</f>
        <v>14.970149253731343</v>
      </c>
      <c r="I37" s="153"/>
      <c r="J37" s="154"/>
      <c r="K37" s="153"/>
      <c r="L37" s="153"/>
      <c r="M37" s="155"/>
      <c r="N37" s="155"/>
      <c r="O37" s="155"/>
      <c r="P37" s="155"/>
      <c r="Q37" s="155"/>
      <c r="R37" s="155"/>
      <c r="S37" s="155"/>
    </row>
    <row r="38" spans="1:19" x14ac:dyDescent="0.25">
      <c r="A38" s="148" t="s">
        <v>119</v>
      </c>
      <c r="B38" s="149">
        <v>2022</v>
      </c>
      <c r="C38" s="239">
        <v>16.54</v>
      </c>
      <c r="D38" s="150">
        <v>23.287012987012986</v>
      </c>
      <c r="E38" s="150">
        <v>18.806282722513085</v>
      </c>
      <c r="F38" s="150">
        <v>15.67</v>
      </c>
      <c r="G38" s="150">
        <v>26.712</v>
      </c>
      <c r="H38" s="150">
        <v>21.686567164179106</v>
      </c>
      <c r="I38" s="150"/>
      <c r="J38" s="151"/>
      <c r="K38" s="150"/>
      <c r="L38" s="150"/>
      <c r="M38" s="152"/>
      <c r="N38" s="152"/>
      <c r="O38" s="152"/>
      <c r="P38" s="152"/>
      <c r="Q38" s="152"/>
      <c r="R38" s="152"/>
      <c r="S38" s="152"/>
    </row>
    <row r="39" spans="1:19" x14ac:dyDescent="0.25">
      <c r="A39" s="173" t="s">
        <v>119</v>
      </c>
      <c r="B39" s="174">
        <v>2023</v>
      </c>
      <c r="C39" s="240">
        <f>523.5/30</f>
        <v>17.45</v>
      </c>
      <c r="D39" s="153">
        <f>1891.7/77</f>
        <v>24.56753246753247</v>
      </c>
      <c r="E39" s="153">
        <f>D39/D38*E38</f>
        <v>19.840413265394016</v>
      </c>
      <c r="F39" s="153">
        <f>826.6/50</f>
        <v>16.532</v>
      </c>
      <c r="G39" s="153">
        <f>211.36/7.5</f>
        <v>28.181333333333335</v>
      </c>
      <c r="H39" s="153">
        <f>275.3/13.4</f>
        <v>20.544776119402986</v>
      </c>
      <c r="I39" s="153"/>
      <c r="J39" s="154"/>
      <c r="K39" s="153"/>
      <c r="L39" s="153"/>
      <c r="M39" s="155"/>
      <c r="N39" s="155"/>
      <c r="O39" s="155"/>
      <c r="P39" s="155"/>
      <c r="Q39" s="155"/>
      <c r="R39" s="155"/>
      <c r="S39" s="155"/>
    </row>
    <row r="40" spans="1:19" x14ac:dyDescent="0.25">
      <c r="A40" s="148" t="s">
        <v>120</v>
      </c>
      <c r="B40" s="149">
        <v>2022</v>
      </c>
      <c r="C40" s="239">
        <v>15.779</v>
      </c>
      <c r="D40" s="150">
        <v>22.353000000000002</v>
      </c>
      <c r="E40" s="150">
        <v>18.241</v>
      </c>
      <c r="F40" s="150">
        <v>15.041</v>
      </c>
      <c r="G40" s="150">
        <v>0</v>
      </c>
      <c r="H40" s="150">
        <v>21.038</v>
      </c>
      <c r="I40" s="150">
        <v>25.48</v>
      </c>
      <c r="J40" s="151">
        <v>28.84</v>
      </c>
      <c r="K40" s="150"/>
      <c r="L40" s="150"/>
      <c r="M40" s="152"/>
      <c r="N40" s="152"/>
      <c r="O40" s="152"/>
      <c r="P40" s="152"/>
      <c r="Q40" s="152"/>
      <c r="R40" s="152"/>
      <c r="S40" s="152"/>
    </row>
    <row r="41" spans="1:19" x14ac:dyDescent="0.25">
      <c r="A41" s="173" t="s">
        <v>120</v>
      </c>
      <c r="B41" s="174">
        <v>2023</v>
      </c>
      <c r="C41" s="240">
        <v>16.678999999999998</v>
      </c>
      <c r="D41" s="153">
        <v>23.626999999999999</v>
      </c>
      <c r="E41" s="153">
        <v>19.280999999999999</v>
      </c>
      <c r="F41" s="153">
        <v>15.898</v>
      </c>
      <c r="G41" s="153">
        <v>0</v>
      </c>
      <c r="H41" s="153">
        <f>22.237</f>
        <v>22.236999999999998</v>
      </c>
      <c r="I41" s="153">
        <v>26.931999999999999</v>
      </c>
      <c r="J41" s="154">
        <v>30.193000000000001</v>
      </c>
      <c r="K41" s="153"/>
      <c r="L41" s="153"/>
      <c r="M41" s="155"/>
      <c r="N41" s="155"/>
      <c r="O41" s="155"/>
      <c r="P41" s="155"/>
      <c r="Q41" s="155"/>
      <c r="R41" s="155"/>
      <c r="S41" s="155"/>
    </row>
    <row r="42" spans="1:19" x14ac:dyDescent="0.25">
      <c r="A42" s="148" t="s">
        <v>121</v>
      </c>
      <c r="B42" s="149">
        <v>2022</v>
      </c>
      <c r="C42" s="239">
        <v>59.519182319999999</v>
      </c>
      <c r="D42" s="157"/>
      <c r="E42" s="157"/>
      <c r="F42" s="157"/>
      <c r="G42" s="157"/>
      <c r="H42" s="157"/>
      <c r="I42" s="157"/>
      <c r="J42" s="151"/>
      <c r="K42" s="158">
        <v>51.016100675372854</v>
      </c>
      <c r="L42" s="158">
        <v>50.730762365150454</v>
      </c>
      <c r="M42" s="176">
        <v>1051679.5101562499</v>
      </c>
      <c r="N42" s="176">
        <v>155</v>
      </c>
      <c r="O42" s="176">
        <v>282</v>
      </c>
      <c r="P42" s="176">
        <v>267</v>
      </c>
      <c r="Q42" s="176">
        <v>462</v>
      </c>
      <c r="R42" s="176">
        <v>447</v>
      </c>
      <c r="S42" s="176"/>
    </row>
    <row r="43" spans="1:19" x14ac:dyDescent="0.25">
      <c r="A43" s="173" t="s">
        <v>121</v>
      </c>
      <c r="B43" s="174">
        <v>2023</v>
      </c>
      <c r="C43" s="212">
        <f>C42*1.075</f>
        <v>63.983120993999997</v>
      </c>
      <c r="D43" s="177"/>
      <c r="E43" s="177"/>
      <c r="F43" s="177"/>
      <c r="G43" s="177"/>
      <c r="H43" s="177"/>
      <c r="I43" s="177"/>
      <c r="J43" s="154"/>
      <c r="K43" s="159">
        <f>($M43/$N43+O43*$C43)/Q43</f>
        <v>54.592642653163701</v>
      </c>
      <c r="L43" s="159">
        <f>($M43/$N43+P43*$C43)/R43</f>
        <v>54.277525930316841</v>
      </c>
      <c r="M43" s="178">
        <f>675300*1.15*1.125*1.125*1.07*1.058</f>
        <v>1112676.9217453124</v>
      </c>
      <c r="N43" s="271">
        <v>155</v>
      </c>
      <c r="O43" s="271">
        <v>282</v>
      </c>
      <c r="P43" s="271">
        <v>267</v>
      </c>
      <c r="Q43" s="271">
        <v>462</v>
      </c>
      <c r="R43" s="271">
        <v>447</v>
      </c>
      <c r="S43" s="155"/>
    </row>
    <row r="44" spans="1:19" x14ac:dyDescent="0.25">
      <c r="A44" s="148" t="s">
        <v>122</v>
      </c>
      <c r="B44" s="149">
        <v>2022</v>
      </c>
      <c r="C44" s="239">
        <v>51.177999999999997</v>
      </c>
      <c r="D44" s="157"/>
      <c r="E44" s="157"/>
      <c r="F44" s="157"/>
      <c r="G44" s="157"/>
      <c r="H44" s="157"/>
      <c r="I44" s="157"/>
      <c r="J44" s="151"/>
      <c r="K44" s="150"/>
      <c r="L44" s="150"/>
      <c r="M44" s="152"/>
      <c r="N44" s="152"/>
      <c r="O44" s="152"/>
      <c r="P44" s="152"/>
      <c r="Q44" s="152"/>
      <c r="R44" s="152"/>
      <c r="S44" s="152"/>
    </row>
    <row r="45" spans="1:19" x14ac:dyDescent="0.25">
      <c r="A45" s="173" t="s">
        <v>122</v>
      </c>
      <c r="B45" s="174">
        <v>2023</v>
      </c>
      <c r="C45" s="212">
        <f>C44*1.075</f>
        <v>55.016349999999996</v>
      </c>
      <c r="D45" s="177"/>
      <c r="E45" s="177"/>
      <c r="F45" s="177"/>
      <c r="G45" s="177"/>
      <c r="H45" s="177"/>
      <c r="I45" s="177"/>
      <c r="J45" s="154"/>
      <c r="K45" s="153"/>
      <c r="L45" s="153"/>
      <c r="M45" s="155"/>
      <c r="N45" s="155"/>
      <c r="O45" s="155"/>
      <c r="P45" s="155"/>
      <c r="Q45" s="155"/>
      <c r="R45" s="155"/>
      <c r="S45" s="155"/>
    </row>
    <row r="46" spans="1:19" x14ac:dyDescent="0.25">
      <c r="A46" s="148" t="s">
        <v>123</v>
      </c>
      <c r="B46" s="149">
        <v>2022</v>
      </c>
      <c r="C46" s="239">
        <v>46.750999999999998</v>
      </c>
      <c r="D46" s="157"/>
      <c r="E46" s="157"/>
      <c r="F46" s="157"/>
      <c r="G46" s="157"/>
      <c r="H46" s="157"/>
      <c r="I46" s="157"/>
      <c r="J46" s="151"/>
      <c r="K46" s="158">
        <v>41.607283109139082</v>
      </c>
      <c r="L46" s="158">
        <v>41.523475947700796</v>
      </c>
      <c r="M46" s="176">
        <v>1051679.5101562499</v>
      </c>
      <c r="N46" s="176">
        <v>155</v>
      </c>
      <c r="O46" s="176">
        <v>282</v>
      </c>
      <c r="P46" s="176">
        <v>267</v>
      </c>
      <c r="Q46" s="176">
        <v>462</v>
      </c>
      <c r="R46" s="176">
        <v>447</v>
      </c>
      <c r="S46" s="176"/>
    </row>
    <row r="47" spans="1:19" x14ac:dyDescent="0.25">
      <c r="A47" s="173" t="s">
        <v>123</v>
      </c>
      <c r="B47" s="174">
        <v>2023</v>
      </c>
      <c r="C47" s="212">
        <f>C46*1.075</f>
        <v>50.257324999999994</v>
      </c>
      <c r="D47" s="177"/>
      <c r="E47" s="177"/>
      <c r="F47" s="177"/>
      <c r="G47" s="177"/>
      <c r="H47" s="177"/>
      <c r="I47" s="177"/>
      <c r="J47" s="154"/>
      <c r="K47" s="159">
        <f>($M47/$N47+O47*$C47)/Q47</f>
        <v>46.214559384098756</v>
      </c>
      <c r="L47" s="159">
        <f>($M47/$N47+P47*$C47)/R47</f>
        <v>46.078896108397373</v>
      </c>
      <c r="M47" s="271">
        <f>M43</f>
        <v>1112676.9217453124</v>
      </c>
      <c r="N47" s="271">
        <v>155</v>
      </c>
      <c r="O47" s="271">
        <v>282</v>
      </c>
      <c r="P47" s="271">
        <v>267</v>
      </c>
      <c r="Q47" s="271">
        <v>462</v>
      </c>
      <c r="R47" s="271">
        <v>447</v>
      </c>
      <c r="S47" s="155"/>
    </row>
    <row r="48" spans="1:19" x14ac:dyDescent="0.25">
      <c r="A48" s="162"/>
      <c r="B48" s="163"/>
      <c r="C48" s="164"/>
      <c r="D48" s="164"/>
      <c r="E48" s="164"/>
      <c r="F48" s="164"/>
      <c r="G48" s="164"/>
      <c r="H48" s="164"/>
      <c r="I48" s="164"/>
      <c r="J48" s="179"/>
      <c r="K48" s="165"/>
      <c r="L48" s="165"/>
      <c r="M48" s="180"/>
      <c r="N48" s="180"/>
      <c r="O48" s="180"/>
      <c r="P48" s="180"/>
      <c r="Q48" s="180"/>
      <c r="R48" s="180"/>
      <c r="S48" s="180"/>
    </row>
    <row r="49" spans="1:19" x14ac:dyDescent="0.25">
      <c r="A49" s="148" t="s">
        <v>163</v>
      </c>
      <c r="B49" s="149">
        <v>2022</v>
      </c>
      <c r="C49" s="150"/>
      <c r="D49" s="150"/>
      <c r="E49" s="150"/>
      <c r="F49" s="150"/>
      <c r="G49" s="150"/>
      <c r="H49" s="150"/>
      <c r="I49" s="157"/>
      <c r="J49" s="151"/>
      <c r="K49" s="150"/>
      <c r="L49" s="150"/>
      <c r="M49" s="152"/>
      <c r="N49" s="152"/>
      <c r="O49" s="152"/>
      <c r="P49" s="152"/>
      <c r="Q49" s="152"/>
      <c r="R49" s="152"/>
      <c r="S49" s="152"/>
    </row>
    <row r="50" spans="1:19" x14ac:dyDescent="0.25">
      <c r="A50" s="173" t="s">
        <v>163</v>
      </c>
      <c r="B50" s="174">
        <v>2023</v>
      </c>
      <c r="C50" s="153"/>
      <c r="D50" s="153"/>
      <c r="E50" s="153"/>
      <c r="F50" s="153"/>
      <c r="G50" s="153"/>
      <c r="H50" s="153"/>
      <c r="I50" s="177"/>
      <c r="J50" s="154"/>
      <c r="K50" s="153"/>
      <c r="L50" s="153"/>
      <c r="M50" s="155"/>
      <c r="N50" s="155"/>
      <c r="O50" s="155"/>
      <c r="P50" s="155"/>
      <c r="Q50" s="155"/>
      <c r="R50" s="155"/>
      <c r="S50" s="155"/>
    </row>
    <row r="51" spans="1:19" x14ac:dyDescent="0.25">
      <c r="A51" s="148" t="s">
        <v>164</v>
      </c>
      <c r="B51" s="149">
        <v>2022</v>
      </c>
      <c r="C51" s="150"/>
      <c r="D51" s="150"/>
      <c r="E51" s="150"/>
      <c r="F51" s="150"/>
      <c r="G51" s="150"/>
      <c r="H51" s="150"/>
      <c r="I51" s="157"/>
      <c r="J51" s="151"/>
      <c r="K51" s="150"/>
      <c r="L51" s="150"/>
      <c r="M51" s="152"/>
      <c r="N51" s="152"/>
      <c r="O51" s="152"/>
      <c r="P51" s="152"/>
      <c r="Q51" s="152"/>
      <c r="R51" s="152"/>
      <c r="S51" s="152"/>
    </row>
    <row r="52" spans="1:19" x14ac:dyDescent="0.25">
      <c r="A52" s="173" t="s">
        <v>164</v>
      </c>
      <c r="B52" s="174">
        <v>2023</v>
      </c>
      <c r="C52" s="153"/>
      <c r="D52" s="153"/>
      <c r="E52" s="153"/>
      <c r="F52" s="153"/>
      <c r="G52" s="153"/>
      <c r="H52" s="153"/>
      <c r="I52" s="177"/>
      <c r="J52" s="154"/>
      <c r="K52" s="153"/>
      <c r="L52" s="153"/>
      <c r="M52" s="155"/>
      <c r="N52" s="155"/>
      <c r="O52" s="155"/>
      <c r="P52" s="155"/>
      <c r="Q52" s="155"/>
      <c r="R52" s="155"/>
      <c r="S52" s="155"/>
    </row>
    <row r="53" spans="1:19" x14ac:dyDescent="0.25">
      <c r="A53" s="148" t="s">
        <v>165</v>
      </c>
      <c r="B53" s="149">
        <v>2022</v>
      </c>
      <c r="C53" s="150"/>
      <c r="D53" s="150"/>
      <c r="E53" s="150"/>
      <c r="F53" s="150"/>
      <c r="G53" s="150"/>
      <c r="H53" s="150"/>
      <c r="I53" s="157"/>
      <c r="J53" s="151"/>
      <c r="K53" s="150"/>
      <c r="L53" s="150"/>
      <c r="M53" s="152"/>
      <c r="N53" s="152"/>
      <c r="O53" s="152"/>
      <c r="P53" s="152"/>
      <c r="Q53" s="152"/>
      <c r="R53" s="152"/>
      <c r="S53" s="152">
        <v>14.496666666666666</v>
      </c>
    </row>
    <row r="54" spans="1:19" x14ac:dyDescent="0.25">
      <c r="A54" s="173" t="s">
        <v>165</v>
      </c>
      <c r="B54" s="174">
        <v>2023</v>
      </c>
      <c r="C54" s="153"/>
      <c r="D54" s="153"/>
      <c r="E54" s="153"/>
      <c r="F54" s="153"/>
      <c r="G54" s="153"/>
      <c r="H54" s="153"/>
      <c r="I54" s="177"/>
      <c r="J54" s="154"/>
      <c r="K54" s="153"/>
      <c r="L54" s="153"/>
      <c r="M54" s="155"/>
      <c r="N54" s="155"/>
      <c r="O54" s="155"/>
      <c r="P54" s="155"/>
      <c r="Q54" s="155"/>
      <c r="R54" s="155"/>
      <c r="S54" s="153">
        <f>460.1/30</f>
        <v>15.336666666666668</v>
      </c>
    </row>
    <row r="55" spans="1:19" x14ac:dyDescent="0.25">
      <c r="A55" s="148" t="s">
        <v>166</v>
      </c>
      <c r="B55" s="149">
        <v>2022</v>
      </c>
      <c r="C55" s="150"/>
      <c r="D55" s="150"/>
      <c r="E55" s="150"/>
      <c r="F55" s="150"/>
      <c r="G55" s="150"/>
      <c r="H55" s="150"/>
      <c r="I55" s="157"/>
      <c r="J55" s="151"/>
      <c r="K55" s="150"/>
      <c r="L55" s="150"/>
      <c r="M55" s="152"/>
      <c r="N55" s="152"/>
      <c r="O55" s="152"/>
      <c r="P55" s="152"/>
      <c r="Q55" s="152"/>
      <c r="R55" s="152"/>
      <c r="S55" s="152">
        <v>15.443333333333333</v>
      </c>
    </row>
    <row r="56" spans="1:19" x14ac:dyDescent="0.25">
      <c r="A56" s="173" t="s">
        <v>166</v>
      </c>
      <c r="B56" s="174">
        <v>2023</v>
      </c>
      <c r="C56" s="153"/>
      <c r="D56" s="153"/>
      <c r="E56" s="153"/>
      <c r="F56" s="153"/>
      <c r="G56" s="153"/>
      <c r="H56" s="153"/>
      <c r="I56" s="177"/>
      <c r="J56" s="154"/>
      <c r="K56" s="153"/>
      <c r="L56" s="153"/>
      <c r="M56" s="155"/>
      <c r="N56" s="155"/>
      <c r="O56" s="155"/>
      <c r="P56" s="155"/>
      <c r="Q56" s="155"/>
      <c r="R56" s="155"/>
      <c r="S56" s="153">
        <f>490.2/30</f>
        <v>16.34</v>
      </c>
    </row>
    <row r="57" spans="1:19" x14ac:dyDescent="0.25">
      <c r="A57" s="166"/>
      <c r="B57" s="167"/>
      <c r="C57" s="168"/>
      <c r="D57" s="168"/>
      <c r="E57" s="168"/>
      <c r="F57" s="168"/>
      <c r="G57" s="168"/>
      <c r="H57" s="168"/>
      <c r="I57" s="168"/>
      <c r="J57" s="181"/>
      <c r="K57" s="169"/>
      <c r="L57" s="169"/>
      <c r="M57" s="182"/>
      <c r="N57" s="182"/>
      <c r="O57" s="182"/>
      <c r="P57" s="182"/>
      <c r="Q57" s="182"/>
      <c r="R57" s="182"/>
      <c r="S57" s="182"/>
    </row>
    <row r="58" spans="1:19" ht="45" x14ac:dyDescent="0.25">
      <c r="A58" s="156" t="s">
        <v>173</v>
      </c>
      <c r="B58" s="149">
        <v>2022</v>
      </c>
      <c r="C58" s="150">
        <v>20.7</v>
      </c>
      <c r="D58" s="150">
        <v>22.562337662337661</v>
      </c>
      <c r="E58" s="150">
        <v>18.408376963350786</v>
      </c>
      <c r="F58" s="150">
        <v>19.738</v>
      </c>
      <c r="G58" s="150">
        <v>25.759999999999998</v>
      </c>
      <c r="H58" s="150">
        <v>21.231343283582088</v>
      </c>
      <c r="I58" s="157"/>
      <c r="J58" s="151"/>
      <c r="K58" s="150"/>
      <c r="L58" s="150"/>
      <c r="M58" s="152"/>
      <c r="N58" s="152"/>
      <c r="O58" s="152"/>
      <c r="P58" s="152"/>
      <c r="Q58" s="152"/>
      <c r="R58" s="152"/>
      <c r="S58" s="152"/>
    </row>
    <row r="59" spans="1:19" ht="45" x14ac:dyDescent="0.25">
      <c r="A59" s="175" t="s">
        <v>173</v>
      </c>
      <c r="B59" s="174">
        <v>2023</v>
      </c>
      <c r="C59" s="153">
        <f>662.6/30</f>
        <v>22.086666666666666</v>
      </c>
      <c r="D59" s="153">
        <f>1852.8/77</f>
        <v>24.062337662337661</v>
      </c>
      <c r="E59" s="153">
        <f>375/19.1</f>
        <v>19.633507853403138</v>
      </c>
      <c r="F59" s="153">
        <f>1052.5/50</f>
        <v>21.05</v>
      </c>
      <c r="G59" s="153">
        <f>206/7.5</f>
        <v>27.466666666666665</v>
      </c>
      <c r="H59" s="153">
        <f>303.4/13.4</f>
        <v>22.641791044776117</v>
      </c>
      <c r="I59" s="177"/>
      <c r="J59" s="154"/>
      <c r="K59" s="153"/>
      <c r="L59" s="153"/>
      <c r="M59" s="155"/>
      <c r="N59" s="155"/>
      <c r="O59" s="155"/>
      <c r="P59" s="155"/>
      <c r="Q59" s="155"/>
      <c r="R59" s="155"/>
      <c r="S59" s="153"/>
    </row>
    <row r="60" spans="1:19" x14ac:dyDescent="0.25">
      <c r="A60" s="166"/>
      <c r="B60" s="167"/>
      <c r="C60" s="168"/>
      <c r="D60" s="168"/>
      <c r="E60" s="168"/>
      <c r="F60" s="168"/>
      <c r="G60" s="168"/>
      <c r="H60" s="168"/>
      <c r="I60" s="168"/>
      <c r="J60" s="181"/>
      <c r="K60" s="169"/>
      <c r="L60" s="169"/>
      <c r="M60" s="182"/>
      <c r="N60" s="182"/>
      <c r="O60" s="182"/>
      <c r="P60" s="182"/>
      <c r="Q60" s="182"/>
      <c r="R60" s="182"/>
      <c r="S60" s="182"/>
    </row>
    <row r="61" spans="1:19" x14ac:dyDescent="0.25">
      <c r="A61" s="148" t="s">
        <v>181</v>
      </c>
      <c r="B61" s="149">
        <v>2022</v>
      </c>
      <c r="C61" s="150">
        <v>15.92</v>
      </c>
      <c r="D61" s="150">
        <v>22.64</v>
      </c>
      <c r="E61" s="150">
        <v>18.34</v>
      </c>
      <c r="F61" s="150">
        <v>15.25</v>
      </c>
      <c r="G61" s="150">
        <v>0</v>
      </c>
      <c r="H61" s="150">
        <v>21.35</v>
      </c>
      <c r="I61" s="150"/>
      <c r="J61" s="151"/>
      <c r="K61" s="150"/>
      <c r="L61" s="150"/>
      <c r="M61" s="152"/>
      <c r="N61" s="152"/>
      <c r="O61" s="152"/>
      <c r="P61" s="152"/>
      <c r="Q61" s="152"/>
      <c r="R61" s="152"/>
      <c r="S61" s="152"/>
    </row>
    <row r="62" spans="1:19" x14ac:dyDescent="0.25">
      <c r="A62" s="173" t="s">
        <v>181</v>
      </c>
      <c r="B62" s="174">
        <v>2023</v>
      </c>
      <c r="C62" s="153">
        <f>16.71</f>
        <v>16.71</v>
      </c>
      <c r="D62" s="153">
        <v>23.77</v>
      </c>
      <c r="E62" s="153">
        <v>19.25</v>
      </c>
      <c r="F62" s="153">
        <v>16.010000000000002</v>
      </c>
      <c r="G62" s="153">
        <v>0</v>
      </c>
      <c r="H62" s="153">
        <v>21.18</v>
      </c>
      <c r="I62" s="153"/>
      <c r="J62" s="154"/>
      <c r="K62" s="153"/>
      <c r="L62" s="153"/>
      <c r="M62" s="155"/>
      <c r="N62" s="155"/>
      <c r="O62" s="155"/>
      <c r="P62" s="155"/>
      <c r="Q62" s="155"/>
      <c r="R62" s="155"/>
      <c r="S62" s="155"/>
    </row>
    <row r="63" spans="1:19" x14ac:dyDescent="0.25">
      <c r="A63" s="148" t="s">
        <v>207</v>
      </c>
      <c r="B63" s="149">
        <v>2022</v>
      </c>
      <c r="C63" s="150"/>
      <c r="D63" s="150"/>
      <c r="E63" s="150"/>
      <c r="F63" s="150"/>
      <c r="G63" s="150"/>
      <c r="H63" s="150"/>
      <c r="I63" s="150"/>
      <c r="J63" s="151"/>
      <c r="K63" s="150"/>
      <c r="L63" s="150"/>
      <c r="M63" s="152"/>
      <c r="N63" s="152"/>
      <c r="O63" s="152"/>
      <c r="P63" s="152"/>
      <c r="Q63" s="152"/>
      <c r="R63" s="152"/>
      <c r="S63" s="152"/>
    </row>
    <row r="64" spans="1:19" x14ac:dyDescent="0.25">
      <c r="A64" s="173" t="s">
        <v>207</v>
      </c>
      <c r="B64" s="174">
        <v>2023</v>
      </c>
      <c r="C64" s="153">
        <f>513.78/30</f>
        <v>17.125999999999998</v>
      </c>
      <c r="D64" s="153">
        <f>1902.98/77</f>
        <v>24.714025974025976</v>
      </c>
      <c r="E64" s="153">
        <f>275.27/19.1</f>
        <v>14.412041884816752</v>
      </c>
      <c r="F64" s="153">
        <f>816.15/50</f>
        <v>16.323</v>
      </c>
      <c r="G64" s="153">
        <f>230.82/7.5</f>
        <v>30.776</v>
      </c>
      <c r="H64" s="153">
        <f>192.45/8.9</f>
        <v>21.623595505617974</v>
      </c>
      <c r="I64" s="153"/>
      <c r="J64" s="154"/>
      <c r="K64" s="153"/>
      <c r="L64" s="153"/>
      <c r="M64" s="155"/>
      <c r="N64" s="155"/>
      <c r="O64" s="155"/>
      <c r="P64" s="155"/>
      <c r="Q64" s="155"/>
      <c r="R64" s="155"/>
      <c r="S64" s="155"/>
    </row>
  </sheetData>
  <sheetProtection algorithmName="SHA-512" hashValue="0e8x3WTgsAOvKq3FXkivxTCX6O+Y898t6eGSP3PY8HGfYGfrVQgUhWPYZESScZ+a9966bHhV1Ig7Gb7IZrm01A==" saltValue="YZL5Sb3kZjs9DcLcSFiBY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2023-02-06T11:13:18Z</cp:lastPrinted>
  <dcterms:created xsi:type="dcterms:W3CDTF">2007-01-02T12:57:15Z</dcterms:created>
  <dcterms:modified xsi:type="dcterms:W3CDTF">2023-02-06T17:43:41Z</dcterms:modified>
</cp:coreProperties>
</file>