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Tariffs 2023\HealthMan Tariffs 2023\"/>
    </mc:Choice>
  </mc:AlternateContent>
  <xr:revisionPtr revIDLastSave="0" documentId="13_ncr:1_{44E10BAF-22E0-41B1-8925-A784351AF8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phthalm... 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'Ophthalm... Comparative Tariffs'!$A$1:$BB$104</definedName>
    <definedName name="_xlnm.Print_Titles" localSheetId="0">'Ophthalm... Comparative Tariffs'!$A:$E,'Ophthalm... Comparative Tariffs'!$1:$7</definedName>
    <definedName name="VAT">[1]Parameters!$C$20</definedName>
  </definedNames>
  <calcPr calcId="181029"/>
</workbook>
</file>

<file path=xl/calcChain.xml><?xml version="1.0" encoding="utf-8"?>
<calcChain xmlns="http://schemas.openxmlformats.org/spreadsheetml/2006/main">
  <c r="AX98" i="1" l="1"/>
  <c r="AX97" i="1"/>
  <c r="AX96" i="1"/>
  <c r="AX95" i="1"/>
  <c r="AW95" i="1" s="1"/>
  <c r="AX94" i="1"/>
  <c r="AX84" i="1"/>
  <c r="AX83" i="1"/>
  <c r="AW83" i="1" s="1"/>
  <c r="AX80" i="1"/>
  <c r="AX79" i="1"/>
  <c r="AW79" i="1" s="1"/>
  <c r="AX78" i="1"/>
  <c r="AW78" i="1" s="1"/>
  <c r="AX34" i="1"/>
  <c r="AX35" i="1"/>
  <c r="AX36" i="1"/>
  <c r="AW36" i="1" s="1"/>
  <c r="AX37" i="1"/>
  <c r="AW37" i="1" s="1"/>
  <c r="AX38" i="1"/>
  <c r="AX39" i="1"/>
  <c r="AX40" i="1"/>
  <c r="AW40" i="1" s="1"/>
  <c r="AX41" i="1"/>
  <c r="AW41" i="1" s="1"/>
  <c r="AX42" i="1"/>
  <c r="AX43" i="1"/>
  <c r="AX44" i="1"/>
  <c r="AW44" i="1" s="1"/>
  <c r="AX45" i="1"/>
  <c r="AW45" i="1" s="1"/>
  <c r="AX46" i="1"/>
  <c r="AX47" i="1"/>
  <c r="AX48" i="1"/>
  <c r="AW48" i="1" s="1"/>
  <c r="AX49" i="1"/>
  <c r="AW49" i="1" s="1"/>
  <c r="AX50" i="1"/>
  <c r="AX51" i="1"/>
  <c r="AX52" i="1"/>
  <c r="AW52" i="1" s="1"/>
  <c r="AX53" i="1"/>
  <c r="AW53" i="1" s="1"/>
  <c r="AX54" i="1"/>
  <c r="AX55" i="1"/>
  <c r="AX56" i="1"/>
  <c r="AW56" i="1" s="1"/>
  <c r="AX57" i="1"/>
  <c r="AW57" i="1" s="1"/>
  <c r="AX58" i="1"/>
  <c r="AX59" i="1"/>
  <c r="AX60" i="1"/>
  <c r="AW60" i="1" s="1"/>
  <c r="AX61" i="1"/>
  <c r="AW61" i="1" s="1"/>
  <c r="AX62" i="1"/>
  <c r="AX63" i="1"/>
  <c r="AX64" i="1"/>
  <c r="AW64" i="1" s="1"/>
  <c r="AX65" i="1"/>
  <c r="AW65" i="1" s="1"/>
  <c r="AX66" i="1"/>
  <c r="AX67" i="1"/>
  <c r="AX68" i="1"/>
  <c r="AW68" i="1" s="1"/>
  <c r="AX69" i="1"/>
  <c r="AW69" i="1" s="1"/>
  <c r="AX70" i="1"/>
  <c r="AX71" i="1"/>
  <c r="AX72" i="1"/>
  <c r="AW72" i="1" s="1"/>
  <c r="AX73" i="1"/>
  <c r="AW73" i="1" s="1"/>
  <c r="AX74" i="1"/>
  <c r="AX75" i="1"/>
  <c r="AX76" i="1"/>
  <c r="AW76" i="1" s="1"/>
  <c r="AX77" i="1"/>
  <c r="AW77" i="1" s="1"/>
  <c r="AX33" i="1"/>
  <c r="AW33" i="1" s="1"/>
  <c r="AW98" i="1"/>
  <c r="AW97" i="1"/>
  <c r="AW96" i="1"/>
  <c r="AW94" i="1"/>
  <c r="AW34" i="1"/>
  <c r="AW35" i="1"/>
  <c r="AW38" i="1"/>
  <c r="AW39" i="1"/>
  <c r="AW42" i="1"/>
  <c r="AW43" i="1"/>
  <c r="AW46" i="1"/>
  <c r="AW47" i="1"/>
  <c r="AW50" i="1"/>
  <c r="AW51" i="1"/>
  <c r="AW54" i="1"/>
  <c r="AW55" i="1"/>
  <c r="AW58" i="1"/>
  <c r="AW59" i="1"/>
  <c r="AW62" i="1"/>
  <c r="AW63" i="1"/>
  <c r="AW66" i="1"/>
  <c r="AW67" i="1"/>
  <c r="AW70" i="1"/>
  <c r="AW71" i="1"/>
  <c r="AW74" i="1"/>
  <c r="AW75" i="1"/>
  <c r="AW80" i="1"/>
  <c r="AW81" i="1"/>
  <c r="AW82" i="1"/>
  <c r="AW84" i="1"/>
  <c r="R19" i="1"/>
  <c r="R18" i="1"/>
  <c r="R17" i="1"/>
  <c r="H64" i="2" l="1"/>
  <c r="G64" i="2"/>
  <c r="F64" i="2"/>
  <c r="E64" i="2"/>
  <c r="D64" i="2"/>
  <c r="C64" i="2"/>
  <c r="C62" i="2"/>
  <c r="H59" i="2"/>
  <c r="G59" i="2"/>
  <c r="F59" i="2"/>
  <c r="E59" i="2"/>
  <c r="D59" i="2"/>
  <c r="C59" i="2"/>
  <c r="S56" i="2"/>
  <c r="S54" i="2"/>
  <c r="M47" i="2"/>
  <c r="L47" i="2" s="1"/>
  <c r="C47" i="2"/>
  <c r="C45" i="2"/>
  <c r="M43" i="2"/>
  <c r="L43" i="2" s="1"/>
  <c r="C43" i="2"/>
  <c r="H41" i="2"/>
  <c r="H39" i="2"/>
  <c r="G39" i="2"/>
  <c r="F39" i="2"/>
  <c r="E39" i="2"/>
  <c r="D39" i="2"/>
  <c r="C39" i="2"/>
  <c r="H37" i="2"/>
  <c r="G37" i="2"/>
  <c r="F37" i="2"/>
  <c r="E37" i="2"/>
  <c r="D37" i="2"/>
  <c r="C37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D28" i="2"/>
  <c r="D27" i="2" s="1"/>
  <c r="C28" i="2"/>
  <c r="F27" i="2"/>
  <c r="E27" i="2"/>
  <c r="C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E23" i="2"/>
  <c r="D23" i="2"/>
  <c r="D24" i="2" s="1"/>
  <c r="C23" i="2"/>
  <c r="C24" i="2" s="1"/>
  <c r="H22" i="2"/>
  <c r="G22" i="2"/>
  <c r="F22" i="2"/>
  <c r="E22" i="2"/>
  <c r="D22" i="2"/>
  <c r="C22" i="2"/>
  <c r="K43" i="2" l="1"/>
  <c r="K47" i="2"/>
  <c r="AX12" i="1"/>
  <c r="AX13" i="1"/>
  <c r="AX14" i="1"/>
  <c r="AX15" i="1"/>
  <c r="AX16" i="1"/>
  <c r="AX17" i="1"/>
  <c r="AX18" i="1"/>
  <c r="AX19" i="1"/>
  <c r="AX22" i="1"/>
  <c r="AX23" i="1"/>
  <c r="AX24" i="1"/>
  <c r="AX25" i="1"/>
  <c r="AX26" i="1"/>
  <c r="AX27" i="1"/>
  <c r="AX28" i="1"/>
  <c r="AX29" i="1"/>
  <c r="AX11" i="1"/>
  <c r="AO12" i="1"/>
  <c r="AO13" i="1"/>
  <c r="AO14" i="1"/>
  <c r="AO15" i="1"/>
  <c r="AO16" i="1"/>
  <c r="AO17" i="1"/>
  <c r="AO18" i="1"/>
  <c r="AO19" i="1"/>
  <c r="AO22" i="1"/>
  <c r="AO23" i="1"/>
  <c r="AO24" i="1"/>
  <c r="AO25" i="1"/>
  <c r="AO26" i="1"/>
  <c r="AO27" i="1"/>
  <c r="AO28" i="1"/>
  <c r="AO29" i="1"/>
  <c r="AO11" i="1"/>
  <c r="V17" i="1" l="1"/>
  <c r="W16" i="1"/>
  <c r="I16" i="1"/>
  <c r="F16" i="1"/>
  <c r="G16" i="1" s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9" i="1"/>
  <c r="AE16" i="1" l="1"/>
  <c r="U16" i="1"/>
  <c r="E16" i="1" l="1"/>
  <c r="D16" i="1" s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P16" i="1"/>
  <c r="AV16" i="1"/>
  <c r="AZ16" i="1"/>
  <c r="BB16" i="1"/>
  <c r="BA16" i="1" s="1"/>
  <c r="E15" i="1" l="1"/>
  <c r="D15" i="1" s="1"/>
  <c r="G15" i="1"/>
  <c r="I15" i="1"/>
  <c r="R15" i="1"/>
  <c r="S15" i="1"/>
  <c r="T15" i="1"/>
  <c r="V15" i="1"/>
  <c r="X15" i="1"/>
  <c r="Y15" i="1"/>
  <c r="Z15" i="1"/>
  <c r="AA15" i="1"/>
  <c r="AB15" i="1"/>
  <c r="AC15" i="1"/>
  <c r="AD15" i="1"/>
  <c r="AF15" i="1"/>
  <c r="AG15" i="1"/>
  <c r="AH15" i="1"/>
  <c r="AI15" i="1"/>
  <c r="AK15" i="1"/>
  <c r="AM15" i="1"/>
  <c r="AP15" i="1"/>
  <c r="AR15" i="1"/>
  <c r="AS15" i="1"/>
  <c r="AT15" i="1"/>
  <c r="AV15" i="1"/>
  <c r="AZ15" i="1"/>
  <c r="BB15" i="1"/>
  <c r="BA15" i="1" s="1"/>
  <c r="E13" i="1"/>
  <c r="D13" i="1" s="1"/>
  <c r="G13" i="1"/>
  <c r="I13" i="1"/>
  <c r="R13" i="1"/>
  <c r="S13" i="1"/>
  <c r="T13" i="1"/>
  <c r="V13" i="1"/>
  <c r="X13" i="1"/>
  <c r="Y13" i="1"/>
  <c r="Z13" i="1"/>
  <c r="AA13" i="1"/>
  <c r="AB13" i="1"/>
  <c r="AC13" i="1"/>
  <c r="AD13" i="1"/>
  <c r="AF13" i="1"/>
  <c r="AG13" i="1"/>
  <c r="AH13" i="1"/>
  <c r="AI13" i="1"/>
  <c r="AK13" i="1"/>
  <c r="AM13" i="1"/>
  <c r="AP13" i="1"/>
  <c r="AR13" i="1"/>
  <c r="AS13" i="1"/>
  <c r="AT13" i="1"/>
  <c r="AV13" i="1"/>
  <c r="AZ13" i="1"/>
  <c r="BB13" i="1"/>
  <c r="BA13" i="1" s="1"/>
  <c r="M15" i="1" l="1"/>
  <c r="P15" i="1"/>
  <c r="J15" i="1"/>
  <c r="N15" i="1"/>
  <c r="K15" i="1"/>
  <c r="O15" i="1"/>
  <c r="L15" i="1"/>
  <c r="M13" i="1"/>
  <c r="L13" i="1"/>
  <c r="J13" i="1"/>
  <c r="N13" i="1"/>
  <c r="K13" i="1"/>
  <c r="O13" i="1"/>
  <c r="P13" i="1"/>
  <c r="BB44" i="1" l="1"/>
  <c r="BA44" i="1" s="1"/>
  <c r="AV44" i="1"/>
  <c r="AU44" i="1" s="1"/>
  <c r="AR44" i="1"/>
  <c r="AQ44" i="1" s="1"/>
  <c r="AO44" i="1"/>
  <c r="AN44" i="1" s="1"/>
  <c r="AP44" i="1" s="1"/>
  <c r="AM44" i="1"/>
  <c r="AL44" i="1" s="1"/>
  <c r="AF44" i="1"/>
  <c r="AE44" i="1" s="1"/>
  <c r="V44" i="1"/>
  <c r="X44" i="1" s="1"/>
  <c r="W44" i="1" s="1"/>
  <c r="R44" i="1"/>
  <c r="Q44" i="1" s="1"/>
  <c r="T44" i="1" s="1"/>
  <c r="G44" i="1"/>
  <c r="F44" i="1" s="1"/>
  <c r="BB72" i="1"/>
  <c r="BA72" i="1" s="1"/>
  <c r="AV72" i="1"/>
  <c r="AU72" i="1" s="1"/>
  <c r="AR72" i="1"/>
  <c r="AQ72" i="1" s="1"/>
  <c r="AO72" i="1"/>
  <c r="AN72" i="1" s="1"/>
  <c r="AP72" i="1" s="1"/>
  <c r="AM72" i="1"/>
  <c r="AL72" i="1" s="1"/>
  <c r="AF72" i="1"/>
  <c r="AE72" i="1" s="1"/>
  <c r="AI72" i="1" s="1"/>
  <c r="V72" i="1"/>
  <c r="X72" i="1" s="1"/>
  <c r="W72" i="1" s="1"/>
  <c r="R72" i="1"/>
  <c r="Q72" i="1" s="1"/>
  <c r="T72" i="1" s="1"/>
  <c r="G72" i="1"/>
  <c r="F72" i="1" s="1"/>
  <c r="E72" i="1"/>
  <c r="D72" i="1" s="1"/>
  <c r="BB71" i="1"/>
  <c r="BA71" i="1" s="1"/>
  <c r="AV71" i="1"/>
  <c r="AU71" i="1" s="1"/>
  <c r="AR71" i="1"/>
  <c r="AQ71" i="1" s="1"/>
  <c r="AO71" i="1"/>
  <c r="AN71" i="1" s="1"/>
  <c r="AP71" i="1" s="1"/>
  <c r="AM71" i="1"/>
  <c r="AL71" i="1" s="1"/>
  <c r="AF71" i="1"/>
  <c r="AE71" i="1" s="1"/>
  <c r="V71" i="1"/>
  <c r="U71" i="1" s="1"/>
  <c r="R71" i="1"/>
  <c r="Q71" i="1" s="1"/>
  <c r="G71" i="1"/>
  <c r="I71" i="1" s="1"/>
  <c r="E71" i="1"/>
  <c r="D71" i="1" s="1"/>
  <c r="E44" i="1" l="1"/>
  <c r="D44" i="1" s="1"/>
  <c r="F71" i="1"/>
  <c r="U44" i="1"/>
  <c r="I44" i="1"/>
  <c r="P44" i="1" s="1"/>
  <c r="I72" i="1"/>
  <c r="K72" i="1" s="1"/>
  <c r="AB44" i="1"/>
  <c r="AA44" i="1"/>
  <c r="Y44" i="1"/>
  <c r="AD44" i="1"/>
  <c r="Z44" i="1"/>
  <c r="AC44" i="1"/>
  <c r="AI44" i="1"/>
  <c r="AG44" i="1"/>
  <c r="AH44" i="1"/>
  <c r="AS44" i="1"/>
  <c r="AT44" i="1"/>
  <c r="S44" i="1"/>
  <c r="U72" i="1"/>
  <c r="AG72" i="1"/>
  <c r="AG71" i="1"/>
  <c r="AI71" i="1"/>
  <c r="AH71" i="1"/>
  <c r="M71" i="1"/>
  <c r="P71" i="1"/>
  <c r="L71" i="1"/>
  <c r="H71" i="1"/>
  <c r="N71" i="1"/>
  <c r="O71" i="1"/>
  <c r="K71" i="1"/>
  <c r="J71" i="1"/>
  <c r="AB72" i="1"/>
  <c r="AA72" i="1"/>
  <c r="AD72" i="1"/>
  <c r="Z72" i="1"/>
  <c r="AC72" i="1"/>
  <c r="Y72" i="1"/>
  <c r="AS71" i="1"/>
  <c r="AT71" i="1"/>
  <c r="T71" i="1"/>
  <c r="S71" i="1"/>
  <c r="AT72" i="1"/>
  <c r="AS72" i="1"/>
  <c r="AH72" i="1"/>
  <c r="X71" i="1"/>
  <c r="W71" i="1" s="1"/>
  <c r="S72" i="1"/>
  <c r="N72" i="1" l="1"/>
  <c r="L44" i="1"/>
  <c r="O44" i="1"/>
  <c r="H44" i="1"/>
  <c r="J44" i="1"/>
  <c r="L72" i="1"/>
  <c r="O72" i="1"/>
  <c r="J72" i="1"/>
  <c r="H72" i="1"/>
  <c r="K44" i="1"/>
  <c r="M44" i="1"/>
  <c r="N44" i="1"/>
  <c r="P72" i="1"/>
  <c r="M72" i="1"/>
  <c r="AC71" i="1"/>
  <c r="Y71" i="1"/>
  <c r="AB71" i="1"/>
  <c r="AA71" i="1"/>
  <c r="AD71" i="1"/>
  <c r="Z71" i="1"/>
  <c r="E57" i="1" l="1"/>
  <c r="D57" i="1" s="1"/>
  <c r="G57" i="1"/>
  <c r="F57" i="1" s="1"/>
  <c r="R57" i="1"/>
  <c r="Q57" i="1" s="1"/>
  <c r="V57" i="1"/>
  <c r="X57" i="1" s="1"/>
  <c r="W57" i="1" s="1"/>
  <c r="AF57" i="1"/>
  <c r="AE57" i="1" s="1"/>
  <c r="AH57" i="1" s="1"/>
  <c r="AM57" i="1"/>
  <c r="AL57" i="1" s="1"/>
  <c r="AO57" i="1"/>
  <c r="AN57" i="1" s="1"/>
  <c r="AP57" i="1" s="1"/>
  <c r="AR57" i="1"/>
  <c r="AQ57" i="1" s="1"/>
  <c r="AS57" i="1" s="1"/>
  <c r="AV57" i="1"/>
  <c r="AU57" i="1" s="1"/>
  <c r="BB57" i="1"/>
  <c r="BA57" i="1" s="1"/>
  <c r="AB57" i="1" l="1"/>
  <c r="AA57" i="1"/>
  <c r="Y57" i="1"/>
  <c r="AC57" i="1"/>
  <c r="Z57" i="1"/>
  <c r="AD57" i="1"/>
  <c r="T57" i="1"/>
  <c r="S57" i="1"/>
  <c r="AT57" i="1"/>
  <c r="AG57" i="1"/>
  <c r="U57" i="1"/>
  <c r="I57" i="1"/>
  <c r="AI57" i="1"/>
  <c r="H57" i="1" l="1"/>
  <c r="L57" i="1"/>
  <c r="P57" i="1"/>
  <c r="N57" i="1"/>
  <c r="O57" i="1"/>
  <c r="M57" i="1"/>
  <c r="J57" i="1"/>
  <c r="K57" i="1"/>
  <c r="E28" i="1" l="1"/>
  <c r="D28" i="1" s="1"/>
  <c r="R28" i="1"/>
  <c r="S28" i="1"/>
  <c r="T28" i="1"/>
  <c r="V28" i="1"/>
  <c r="X28" i="1"/>
  <c r="Y28" i="1"/>
  <c r="AA28" i="1"/>
  <c r="AB28" i="1"/>
  <c r="AC28" i="1"/>
  <c r="AD28" i="1"/>
  <c r="AF28" i="1"/>
  <c r="AG28" i="1"/>
  <c r="AH28" i="1"/>
  <c r="AI28" i="1"/>
  <c r="AK28" i="1"/>
  <c r="AM28" i="1"/>
  <c r="AP28" i="1"/>
  <c r="AR28" i="1"/>
  <c r="AS28" i="1"/>
  <c r="AT28" i="1"/>
  <c r="AV28" i="1"/>
  <c r="AZ28" i="1"/>
  <c r="BB28" i="1"/>
  <c r="AK44" i="1" l="1"/>
  <c r="AJ44" i="1" s="1"/>
  <c r="AK72" i="1"/>
  <c r="AJ72" i="1" s="1"/>
  <c r="AK71" i="1"/>
  <c r="AJ71" i="1" s="1"/>
  <c r="AK57" i="1"/>
  <c r="AJ57" i="1" s="1"/>
  <c r="AZ44" i="1"/>
  <c r="AY44" i="1" s="1"/>
  <c r="AZ72" i="1"/>
  <c r="AY72" i="1" s="1"/>
  <c r="AZ71" i="1"/>
  <c r="AY71" i="1" s="1"/>
  <c r="AZ57" i="1"/>
  <c r="AY57" i="1" s="1"/>
  <c r="BB18" i="1" l="1"/>
  <c r="AM98" i="1" l="1"/>
  <c r="AM97" i="1"/>
  <c r="AM96" i="1"/>
  <c r="AM95" i="1"/>
  <c r="AM94" i="1"/>
  <c r="AM84" i="1"/>
  <c r="AM83" i="1"/>
  <c r="AM80" i="1"/>
  <c r="AM79" i="1"/>
  <c r="AM78" i="1"/>
  <c r="AM35" i="1"/>
  <c r="AM36" i="1"/>
  <c r="AM37" i="1"/>
  <c r="AM38" i="1"/>
  <c r="AM39" i="1"/>
  <c r="AM40" i="1"/>
  <c r="AM41" i="1"/>
  <c r="AM42" i="1"/>
  <c r="AM43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70" i="1"/>
  <c r="AM73" i="1"/>
  <c r="AM74" i="1"/>
  <c r="AM75" i="1"/>
  <c r="AM76" i="1"/>
  <c r="AM77" i="1"/>
  <c r="AM34" i="1"/>
  <c r="AM33" i="1"/>
  <c r="AK95" i="1"/>
  <c r="AK96" i="1"/>
  <c r="AK97" i="1"/>
  <c r="AK98" i="1"/>
  <c r="AK94" i="1"/>
  <c r="AK84" i="1"/>
  <c r="AK83" i="1"/>
  <c r="AK80" i="1"/>
  <c r="AK79" i="1"/>
  <c r="AK78" i="1"/>
  <c r="AK34" i="1"/>
  <c r="AK35" i="1"/>
  <c r="AK36" i="1"/>
  <c r="AK37" i="1"/>
  <c r="AK38" i="1"/>
  <c r="AK39" i="1"/>
  <c r="AK40" i="1"/>
  <c r="AK41" i="1"/>
  <c r="AK42" i="1"/>
  <c r="AK43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3" i="1"/>
  <c r="AK74" i="1"/>
  <c r="AK75" i="1"/>
  <c r="AK76" i="1"/>
  <c r="AK77" i="1"/>
  <c r="AK33" i="1"/>
  <c r="K81" i="1" l="1"/>
  <c r="L81" i="1"/>
  <c r="K82" i="1"/>
  <c r="L82" i="1"/>
  <c r="K85" i="1"/>
  <c r="L85" i="1"/>
  <c r="K86" i="1"/>
  <c r="L86" i="1"/>
  <c r="K20" i="1"/>
  <c r="L20" i="1"/>
  <c r="K21" i="1"/>
  <c r="L21" i="1"/>
  <c r="J20" i="1"/>
  <c r="J21" i="1"/>
  <c r="Y29" i="1" l="1"/>
  <c r="Z29" i="1" s="1"/>
  <c r="AA29" i="1" s="1"/>
  <c r="AB29" i="1" s="1"/>
  <c r="AC29" i="1" s="1"/>
  <c r="AD29" i="1" s="1"/>
  <c r="BB98" i="1" l="1"/>
  <c r="BA98" i="1" s="1"/>
  <c r="AZ98" i="1"/>
  <c r="AY98" i="1" s="1"/>
  <c r="AV98" i="1"/>
  <c r="AU98" i="1" s="1"/>
  <c r="AR98" i="1"/>
  <c r="AQ98" i="1" s="1"/>
  <c r="AO98" i="1"/>
  <c r="AN98" i="1" s="1"/>
  <c r="AP98" i="1" s="1"/>
  <c r="AL98" i="1"/>
  <c r="AJ98" i="1"/>
  <c r="AF98" i="1"/>
  <c r="AE98" i="1" s="1"/>
  <c r="AI98" i="1" s="1"/>
  <c r="V98" i="1"/>
  <c r="U98" i="1" s="1"/>
  <c r="R98" i="1"/>
  <c r="Q98" i="1" s="1"/>
  <c r="G98" i="1"/>
  <c r="F98" i="1" s="1"/>
  <c r="E98" i="1"/>
  <c r="BB97" i="1"/>
  <c r="BA97" i="1" s="1"/>
  <c r="AZ97" i="1"/>
  <c r="AY97" i="1" s="1"/>
  <c r="AV97" i="1"/>
  <c r="AU97" i="1" s="1"/>
  <c r="AR97" i="1"/>
  <c r="AQ97" i="1" s="1"/>
  <c r="AO97" i="1"/>
  <c r="AN97" i="1" s="1"/>
  <c r="AP97" i="1" s="1"/>
  <c r="AL97" i="1"/>
  <c r="AJ97" i="1"/>
  <c r="AF97" i="1"/>
  <c r="AE97" i="1" s="1"/>
  <c r="V97" i="1"/>
  <c r="U97" i="1" s="1"/>
  <c r="R97" i="1"/>
  <c r="Q97" i="1" s="1"/>
  <c r="G97" i="1"/>
  <c r="F97" i="1" s="1"/>
  <c r="E97" i="1"/>
  <c r="BB96" i="1"/>
  <c r="BA96" i="1" s="1"/>
  <c r="AZ96" i="1"/>
  <c r="AY96" i="1" s="1"/>
  <c r="AV96" i="1"/>
  <c r="AU96" i="1" s="1"/>
  <c r="AR96" i="1"/>
  <c r="AQ96" i="1" s="1"/>
  <c r="AO96" i="1"/>
  <c r="AN96" i="1" s="1"/>
  <c r="AP96" i="1" s="1"/>
  <c r="AL96" i="1"/>
  <c r="AJ96" i="1"/>
  <c r="AF96" i="1"/>
  <c r="AE96" i="1" s="1"/>
  <c r="V96" i="1"/>
  <c r="X96" i="1" s="1"/>
  <c r="W96" i="1" s="1"/>
  <c r="R96" i="1"/>
  <c r="Q96" i="1" s="1"/>
  <c r="T96" i="1" s="1"/>
  <c r="G96" i="1"/>
  <c r="F96" i="1" s="1"/>
  <c r="E96" i="1"/>
  <c r="BB95" i="1"/>
  <c r="BA95" i="1" s="1"/>
  <c r="AZ95" i="1"/>
  <c r="AY95" i="1" s="1"/>
  <c r="AV95" i="1"/>
  <c r="AU95" i="1" s="1"/>
  <c r="AR95" i="1"/>
  <c r="AQ95" i="1" s="1"/>
  <c r="AT95" i="1" s="1"/>
  <c r="AO95" i="1"/>
  <c r="AN95" i="1" s="1"/>
  <c r="AP95" i="1" s="1"/>
  <c r="AL95" i="1"/>
  <c r="AJ95" i="1"/>
  <c r="AF95" i="1"/>
  <c r="AE95" i="1" s="1"/>
  <c r="V95" i="1"/>
  <c r="U95" i="1" s="1"/>
  <c r="R95" i="1"/>
  <c r="Q95" i="1" s="1"/>
  <c r="G95" i="1"/>
  <c r="I95" i="1" s="1"/>
  <c r="E95" i="1"/>
  <c r="BB94" i="1"/>
  <c r="BA94" i="1" s="1"/>
  <c r="AZ94" i="1"/>
  <c r="AY94" i="1" s="1"/>
  <c r="AV94" i="1"/>
  <c r="AU94" i="1" s="1"/>
  <c r="AR94" i="1"/>
  <c r="AQ94" i="1" s="1"/>
  <c r="AO94" i="1"/>
  <c r="AN94" i="1" s="1"/>
  <c r="AP94" i="1" s="1"/>
  <c r="AL94" i="1"/>
  <c r="AJ94" i="1"/>
  <c r="AF94" i="1"/>
  <c r="AE94" i="1" s="1"/>
  <c r="AI94" i="1" s="1"/>
  <c r="V94" i="1"/>
  <c r="X94" i="1" s="1"/>
  <c r="W94" i="1" s="1"/>
  <c r="R94" i="1"/>
  <c r="Q94" i="1" s="1"/>
  <c r="G94" i="1"/>
  <c r="F94" i="1" s="1"/>
  <c r="E94" i="1"/>
  <c r="BB79" i="1"/>
  <c r="BA79" i="1" s="1"/>
  <c r="AZ79" i="1"/>
  <c r="AY79" i="1" s="1"/>
  <c r="AV79" i="1"/>
  <c r="AU79" i="1" s="1"/>
  <c r="AR79" i="1"/>
  <c r="AQ79" i="1" s="1"/>
  <c r="AO79" i="1"/>
  <c r="AN79" i="1" s="1"/>
  <c r="AP79" i="1" s="1"/>
  <c r="AL79" i="1"/>
  <c r="AJ79" i="1"/>
  <c r="AF79" i="1"/>
  <c r="AE79" i="1" s="1"/>
  <c r="AI79" i="1" s="1"/>
  <c r="V79" i="1"/>
  <c r="X79" i="1" s="1"/>
  <c r="W79" i="1" s="1"/>
  <c r="R79" i="1"/>
  <c r="Q79" i="1" s="1"/>
  <c r="G79" i="1"/>
  <c r="F79" i="1" s="1"/>
  <c r="BB78" i="1"/>
  <c r="BA78" i="1" s="1"/>
  <c r="AZ78" i="1"/>
  <c r="AY78" i="1" s="1"/>
  <c r="AV78" i="1"/>
  <c r="AU78" i="1" s="1"/>
  <c r="AR78" i="1"/>
  <c r="AQ78" i="1" s="1"/>
  <c r="AO78" i="1"/>
  <c r="AN78" i="1" s="1"/>
  <c r="AP78" i="1" s="1"/>
  <c r="AF78" i="1"/>
  <c r="AE78" i="1" s="1"/>
  <c r="V78" i="1"/>
  <c r="X78" i="1" s="1"/>
  <c r="W78" i="1" s="1"/>
  <c r="R78" i="1"/>
  <c r="Q78" i="1" s="1"/>
  <c r="G78" i="1"/>
  <c r="F78" i="1" s="1"/>
  <c r="G84" i="1"/>
  <c r="I84" i="1" s="1"/>
  <c r="R84" i="1"/>
  <c r="Q84" i="1" s="1"/>
  <c r="V84" i="1"/>
  <c r="U84" i="1" s="1"/>
  <c r="AF84" i="1"/>
  <c r="AE84" i="1" s="1"/>
  <c r="AJ84" i="1"/>
  <c r="AL84" i="1"/>
  <c r="AO84" i="1"/>
  <c r="AN84" i="1" s="1"/>
  <c r="AP84" i="1" s="1"/>
  <c r="AR84" i="1"/>
  <c r="AQ84" i="1" s="1"/>
  <c r="AV84" i="1"/>
  <c r="AU84" i="1" s="1"/>
  <c r="AZ84" i="1"/>
  <c r="AY84" i="1" s="1"/>
  <c r="BB84" i="1"/>
  <c r="BA84" i="1" s="1"/>
  <c r="BB83" i="1"/>
  <c r="BA83" i="1" s="1"/>
  <c r="AZ83" i="1"/>
  <c r="AY83" i="1" s="1"/>
  <c r="AV83" i="1"/>
  <c r="AU83" i="1" s="1"/>
  <c r="AR83" i="1"/>
  <c r="AQ83" i="1" s="1"/>
  <c r="AO83" i="1"/>
  <c r="AN83" i="1" s="1"/>
  <c r="AP83" i="1" s="1"/>
  <c r="AL83" i="1"/>
  <c r="AJ83" i="1"/>
  <c r="AF83" i="1"/>
  <c r="AE83" i="1" s="1"/>
  <c r="AI83" i="1" s="1"/>
  <c r="V83" i="1"/>
  <c r="X83" i="1" s="1"/>
  <c r="W83" i="1" s="1"/>
  <c r="R83" i="1"/>
  <c r="Q83" i="1" s="1"/>
  <c r="G83" i="1"/>
  <c r="F83" i="1" s="1"/>
  <c r="E83" i="1"/>
  <c r="F81" i="1"/>
  <c r="H81" i="1"/>
  <c r="J81" i="1"/>
  <c r="M81" i="1"/>
  <c r="N81" i="1"/>
  <c r="O81" i="1"/>
  <c r="P81" i="1"/>
  <c r="Q81" i="1"/>
  <c r="S81" i="1" s="1"/>
  <c r="U81" i="1"/>
  <c r="W81" i="1"/>
  <c r="Y81" i="1" s="1"/>
  <c r="AE81" i="1"/>
  <c r="AI81" i="1" s="1"/>
  <c r="AJ81" i="1"/>
  <c r="AL81" i="1"/>
  <c r="AN81" i="1"/>
  <c r="AP81" i="1" s="1"/>
  <c r="AQ81" i="1"/>
  <c r="AS81" i="1" s="1"/>
  <c r="AU81" i="1"/>
  <c r="AY81" i="1"/>
  <c r="BA81" i="1"/>
  <c r="BB80" i="1"/>
  <c r="BA80" i="1" s="1"/>
  <c r="AZ80" i="1"/>
  <c r="AY80" i="1" s="1"/>
  <c r="AV80" i="1"/>
  <c r="AU80" i="1" s="1"/>
  <c r="AR80" i="1"/>
  <c r="AQ80" i="1" s="1"/>
  <c r="AO80" i="1"/>
  <c r="AN80" i="1" s="1"/>
  <c r="AP80" i="1" s="1"/>
  <c r="AL80" i="1"/>
  <c r="AJ80" i="1"/>
  <c r="AF80" i="1"/>
  <c r="AE80" i="1" s="1"/>
  <c r="AI80" i="1" s="1"/>
  <c r="V80" i="1"/>
  <c r="U80" i="1" s="1"/>
  <c r="R80" i="1"/>
  <c r="Q80" i="1" s="1"/>
  <c r="G80" i="1"/>
  <c r="F80" i="1" s="1"/>
  <c r="BB77" i="1"/>
  <c r="BA77" i="1" s="1"/>
  <c r="AZ77" i="1"/>
  <c r="AY77" i="1" s="1"/>
  <c r="AV77" i="1"/>
  <c r="AU77" i="1" s="1"/>
  <c r="AR77" i="1"/>
  <c r="AQ77" i="1" s="1"/>
  <c r="AO77" i="1"/>
  <c r="AN77" i="1" s="1"/>
  <c r="AP77" i="1" s="1"/>
  <c r="AL77" i="1"/>
  <c r="AJ77" i="1"/>
  <c r="AF77" i="1"/>
  <c r="AE77" i="1" s="1"/>
  <c r="AI77" i="1" s="1"/>
  <c r="V77" i="1"/>
  <c r="X77" i="1" s="1"/>
  <c r="W77" i="1" s="1"/>
  <c r="R77" i="1"/>
  <c r="Q77" i="1" s="1"/>
  <c r="G77" i="1"/>
  <c r="F77" i="1" s="1"/>
  <c r="BB76" i="1"/>
  <c r="BA76" i="1" s="1"/>
  <c r="AZ76" i="1"/>
  <c r="AY76" i="1" s="1"/>
  <c r="AV76" i="1"/>
  <c r="AU76" i="1" s="1"/>
  <c r="AR76" i="1"/>
  <c r="AQ76" i="1" s="1"/>
  <c r="AO76" i="1"/>
  <c r="AN76" i="1" s="1"/>
  <c r="AP76" i="1" s="1"/>
  <c r="AL76" i="1"/>
  <c r="AJ76" i="1"/>
  <c r="AF76" i="1"/>
  <c r="AE76" i="1" s="1"/>
  <c r="AI76" i="1" s="1"/>
  <c r="V76" i="1"/>
  <c r="X76" i="1" s="1"/>
  <c r="W76" i="1" s="1"/>
  <c r="R76" i="1"/>
  <c r="Q76" i="1" s="1"/>
  <c r="S76" i="1" s="1"/>
  <c r="G76" i="1"/>
  <c r="I76" i="1" s="1"/>
  <c r="BB75" i="1"/>
  <c r="BA75" i="1" s="1"/>
  <c r="AZ75" i="1"/>
  <c r="AY75" i="1" s="1"/>
  <c r="AV75" i="1"/>
  <c r="AU75" i="1" s="1"/>
  <c r="AR75" i="1"/>
  <c r="AQ75" i="1" s="1"/>
  <c r="AO75" i="1"/>
  <c r="AN75" i="1" s="1"/>
  <c r="AP75" i="1" s="1"/>
  <c r="AL75" i="1"/>
  <c r="AJ75" i="1"/>
  <c r="AF75" i="1"/>
  <c r="AE75" i="1" s="1"/>
  <c r="AI75" i="1" s="1"/>
  <c r="V75" i="1"/>
  <c r="X75" i="1" s="1"/>
  <c r="W75" i="1" s="1"/>
  <c r="R75" i="1"/>
  <c r="Q75" i="1" s="1"/>
  <c r="S75" i="1" s="1"/>
  <c r="G75" i="1"/>
  <c r="I75" i="1" s="1"/>
  <c r="BB74" i="1"/>
  <c r="BA74" i="1" s="1"/>
  <c r="AZ74" i="1"/>
  <c r="AY74" i="1" s="1"/>
  <c r="AV74" i="1"/>
  <c r="AU74" i="1" s="1"/>
  <c r="AR74" i="1"/>
  <c r="AQ74" i="1" s="1"/>
  <c r="AO74" i="1"/>
  <c r="AN74" i="1" s="1"/>
  <c r="AP74" i="1" s="1"/>
  <c r="AL74" i="1"/>
  <c r="AJ74" i="1"/>
  <c r="AF74" i="1"/>
  <c r="AE74" i="1" s="1"/>
  <c r="AI74" i="1" s="1"/>
  <c r="V74" i="1"/>
  <c r="X74" i="1" s="1"/>
  <c r="W74" i="1" s="1"/>
  <c r="R74" i="1"/>
  <c r="Q74" i="1" s="1"/>
  <c r="S74" i="1" s="1"/>
  <c r="G74" i="1"/>
  <c r="I74" i="1" s="1"/>
  <c r="BB73" i="1"/>
  <c r="BA73" i="1" s="1"/>
  <c r="AZ73" i="1"/>
  <c r="AY73" i="1" s="1"/>
  <c r="AV73" i="1"/>
  <c r="AU73" i="1" s="1"/>
  <c r="AR73" i="1"/>
  <c r="AQ73" i="1" s="1"/>
  <c r="AO73" i="1"/>
  <c r="AN73" i="1" s="1"/>
  <c r="AP73" i="1" s="1"/>
  <c r="AL73" i="1"/>
  <c r="AJ73" i="1"/>
  <c r="AF73" i="1"/>
  <c r="AE73" i="1" s="1"/>
  <c r="AI73" i="1" s="1"/>
  <c r="V73" i="1"/>
  <c r="X73" i="1" s="1"/>
  <c r="W73" i="1" s="1"/>
  <c r="Y73" i="1" s="1"/>
  <c r="R73" i="1"/>
  <c r="Q73" i="1" s="1"/>
  <c r="G73" i="1"/>
  <c r="F73" i="1" s="1"/>
  <c r="BB70" i="1"/>
  <c r="BA70" i="1" s="1"/>
  <c r="AZ70" i="1"/>
  <c r="AY70" i="1" s="1"/>
  <c r="AV70" i="1"/>
  <c r="AU70" i="1" s="1"/>
  <c r="AR70" i="1"/>
  <c r="AQ70" i="1" s="1"/>
  <c r="AS70" i="1" s="1"/>
  <c r="AO70" i="1"/>
  <c r="AN70" i="1" s="1"/>
  <c r="AP70" i="1" s="1"/>
  <c r="AL70" i="1"/>
  <c r="AJ70" i="1"/>
  <c r="AF70" i="1"/>
  <c r="AE70" i="1" s="1"/>
  <c r="AH70" i="1" s="1"/>
  <c r="V70" i="1"/>
  <c r="X70" i="1" s="1"/>
  <c r="W70" i="1" s="1"/>
  <c r="AC70" i="1" s="1"/>
  <c r="R70" i="1"/>
  <c r="Q70" i="1" s="1"/>
  <c r="T70" i="1" s="1"/>
  <c r="G70" i="1"/>
  <c r="F70" i="1" s="1"/>
  <c r="BB69" i="1"/>
  <c r="BA69" i="1" s="1"/>
  <c r="AZ69" i="1"/>
  <c r="AY69" i="1" s="1"/>
  <c r="AV69" i="1"/>
  <c r="AU69" i="1" s="1"/>
  <c r="AR69" i="1"/>
  <c r="AQ69" i="1" s="1"/>
  <c r="AS69" i="1" s="1"/>
  <c r="AO69" i="1"/>
  <c r="AN69" i="1" s="1"/>
  <c r="AP69" i="1" s="1"/>
  <c r="AL69" i="1"/>
  <c r="AJ69" i="1"/>
  <c r="AF69" i="1"/>
  <c r="AE69" i="1" s="1"/>
  <c r="V69" i="1"/>
  <c r="X69" i="1" s="1"/>
  <c r="W69" i="1" s="1"/>
  <c r="R69" i="1"/>
  <c r="Q69" i="1" s="1"/>
  <c r="T69" i="1" s="1"/>
  <c r="G69" i="1"/>
  <c r="F69" i="1" s="1"/>
  <c r="BB68" i="1"/>
  <c r="BA68" i="1" s="1"/>
  <c r="AZ68" i="1"/>
  <c r="AY68" i="1" s="1"/>
  <c r="AV68" i="1"/>
  <c r="AU68" i="1" s="1"/>
  <c r="AR68" i="1"/>
  <c r="AQ68" i="1" s="1"/>
  <c r="AS68" i="1" s="1"/>
  <c r="AO68" i="1"/>
  <c r="AN68" i="1" s="1"/>
  <c r="AP68" i="1" s="1"/>
  <c r="AL68" i="1"/>
  <c r="AJ68" i="1"/>
  <c r="AF68" i="1"/>
  <c r="AE68" i="1" s="1"/>
  <c r="AH68" i="1" s="1"/>
  <c r="V68" i="1"/>
  <c r="X68" i="1" s="1"/>
  <c r="W68" i="1" s="1"/>
  <c r="AC68" i="1" s="1"/>
  <c r="R68" i="1"/>
  <c r="Q68" i="1" s="1"/>
  <c r="G68" i="1"/>
  <c r="F68" i="1" s="1"/>
  <c r="BB67" i="1"/>
  <c r="BA67" i="1" s="1"/>
  <c r="AZ67" i="1"/>
  <c r="AY67" i="1" s="1"/>
  <c r="AV67" i="1"/>
  <c r="AU67" i="1" s="1"/>
  <c r="AR67" i="1"/>
  <c r="AQ67" i="1" s="1"/>
  <c r="AS67" i="1" s="1"/>
  <c r="AO67" i="1"/>
  <c r="AN67" i="1" s="1"/>
  <c r="AP67" i="1" s="1"/>
  <c r="AL67" i="1"/>
  <c r="AJ67" i="1"/>
  <c r="AF67" i="1"/>
  <c r="AE67" i="1" s="1"/>
  <c r="V67" i="1"/>
  <c r="X67" i="1" s="1"/>
  <c r="W67" i="1" s="1"/>
  <c r="R67" i="1"/>
  <c r="Q67" i="1" s="1"/>
  <c r="T67" i="1" s="1"/>
  <c r="G67" i="1"/>
  <c r="F67" i="1" s="1"/>
  <c r="BB66" i="1"/>
  <c r="BA66" i="1" s="1"/>
  <c r="AZ66" i="1"/>
  <c r="AY66" i="1" s="1"/>
  <c r="AV66" i="1"/>
  <c r="AU66" i="1" s="1"/>
  <c r="AR66" i="1"/>
  <c r="AQ66" i="1" s="1"/>
  <c r="AS66" i="1" s="1"/>
  <c r="AO66" i="1"/>
  <c r="AN66" i="1" s="1"/>
  <c r="AP66" i="1" s="1"/>
  <c r="AL66" i="1"/>
  <c r="AJ66" i="1"/>
  <c r="AF66" i="1"/>
  <c r="AE66" i="1" s="1"/>
  <c r="AH66" i="1" s="1"/>
  <c r="V66" i="1"/>
  <c r="X66" i="1" s="1"/>
  <c r="W66" i="1" s="1"/>
  <c r="Z66" i="1" s="1"/>
  <c r="R66" i="1"/>
  <c r="Q66" i="1" s="1"/>
  <c r="G66" i="1"/>
  <c r="F66" i="1" s="1"/>
  <c r="BB65" i="1"/>
  <c r="BA65" i="1" s="1"/>
  <c r="AZ65" i="1"/>
  <c r="AY65" i="1" s="1"/>
  <c r="AV65" i="1"/>
  <c r="AU65" i="1" s="1"/>
  <c r="AR65" i="1"/>
  <c r="AQ65" i="1" s="1"/>
  <c r="AO65" i="1"/>
  <c r="AN65" i="1" s="1"/>
  <c r="AP65" i="1" s="1"/>
  <c r="AL65" i="1"/>
  <c r="AJ65" i="1"/>
  <c r="AF65" i="1"/>
  <c r="AE65" i="1" s="1"/>
  <c r="V65" i="1"/>
  <c r="U65" i="1" s="1"/>
  <c r="R65" i="1"/>
  <c r="Q65" i="1" s="1"/>
  <c r="T65" i="1" s="1"/>
  <c r="G65" i="1"/>
  <c r="F65" i="1" s="1"/>
  <c r="BB64" i="1"/>
  <c r="BA64" i="1" s="1"/>
  <c r="AZ64" i="1"/>
  <c r="AY64" i="1" s="1"/>
  <c r="AV64" i="1"/>
  <c r="AU64" i="1" s="1"/>
  <c r="AR64" i="1"/>
  <c r="AQ64" i="1" s="1"/>
  <c r="AO64" i="1"/>
  <c r="AN64" i="1" s="1"/>
  <c r="AP64" i="1" s="1"/>
  <c r="AL64" i="1"/>
  <c r="AJ64" i="1"/>
  <c r="AF64" i="1"/>
  <c r="AE64" i="1" s="1"/>
  <c r="AI64" i="1" s="1"/>
  <c r="V64" i="1"/>
  <c r="U64" i="1" s="1"/>
  <c r="R64" i="1"/>
  <c r="Q64" i="1" s="1"/>
  <c r="G64" i="1"/>
  <c r="F64" i="1" s="1"/>
  <c r="BB63" i="1"/>
  <c r="BA63" i="1" s="1"/>
  <c r="AZ63" i="1"/>
  <c r="AY63" i="1" s="1"/>
  <c r="AV63" i="1"/>
  <c r="AU63" i="1" s="1"/>
  <c r="AR63" i="1"/>
  <c r="AQ63" i="1" s="1"/>
  <c r="AS63" i="1" s="1"/>
  <c r="AO63" i="1"/>
  <c r="AN63" i="1" s="1"/>
  <c r="AP63" i="1" s="1"/>
  <c r="AL63" i="1"/>
  <c r="AJ63" i="1"/>
  <c r="AF63" i="1"/>
  <c r="AE63" i="1" s="1"/>
  <c r="AI63" i="1" s="1"/>
  <c r="V63" i="1"/>
  <c r="X63" i="1" s="1"/>
  <c r="W63" i="1" s="1"/>
  <c r="R63" i="1"/>
  <c r="Q63" i="1" s="1"/>
  <c r="G63" i="1"/>
  <c r="F63" i="1" s="1"/>
  <c r="BB62" i="1"/>
  <c r="BA62" i="1" s="1"/>
  <c r="AZ62" i="1"/>
  <c r="AY62" i="1" s="1"/>
  <c r="AV62" i="1"/>
  <c r="AU62" i="1" s="1"/>
  <c r="AR62" i="1"/>
  <c r="AQ62" i="1" s="1"/>
  <c r="AS62" i="1" s="1"/>
  <c r="AO62" i="1"/>
  <c r="AN62" i="1" s="1"/>
  <c r="AP62" i="1" s="1"/>
  <c r="AL62" i="1"/>
  <c r="AJ62" i="1"/>
  <c r="AF62" i="1"/>
  <c r="AE62" i="1" s="1"/>
  <c r="V62" i="1"/>
  <c r="X62" i="1" s="1"/>
  <c r="W62" i="1" s="1"/>
  <c r="AC62" i="1" s="1"/>
  <c r="R62" i="1"/>
  <c r="Q62" i="1" s="1"/>
  <c r="G62" i="1"/>
  <c r="BB61" i="1"/>
  <c r="BA61" i="1" s="1"/>
  <c r="AZ61" i="1"/>
  <c r="AY61" i="1" s="1"/>
  <c r="AV61" i="1"/>
  <c r="AU61" i="1" s="1"/>
  <c r="AR61" i="1"/>
  <c r="AQ61" i="1" s="1"/>
  <c r="AS61" i="1" s="1"/>
  <c r="AO61" i="1"/>
  <c r="AN61" i="1" s="1"/>
  <c r="AP61" i="1" s="1"/>
  <c r="AL61" i="1"/>
  <c r="AJ61" i="1"/>
  <c r="AF61" i="1"/>
  <c r="AE61" i="1" s="1"/>
  <c r="V61" i="1"/>
  <c r="X61" i="1" s="1"/>
  <c r="W61" i="1" s="1"/>
  <c r="R61" i="1"/>
  <c r="Q61" i="1" s="1"/>
  <c r="T61" i="1" s="1"/>
  <c r="G61" i="1"/>
  <c r="F61" i="1" s="1"/>
  <c r="BB60" i="1"/>
  <c r="BA60" i="1" s="1"/>
  <c r="AZ60" i="1"/>
  <c r="AY60" i="1" s="1"/>
  <c r="AV60" i="1"/>
  <c r="AU60" i="1" s="1"/>
  <c r="AR60" i="1"/>
  <c r="AQ60" i="1" s="1"/>
  <c r="AO60" i="1"/>
  <c r="AN60" i="1" s="1"/>
  <c r="AP60" i="1" s="1"/>
  <c r="AL60" i="1"/>
  <c r="AJ60" i="1"/>
  <c r="AF60" i="1"/>
  <c r="AE60" i="1" s="1"/>
  <c r="V60" i="1"/>
  <c r="X60" i="1" s="1"/>
  <c r="W60" i="1" s="1"/>
  <c r="R60" i="1"/>
  <c r="Q60" i="1" s="1"/>
  <c r="T60" i="1" s="1"/>
  <c r="G60" i="1"/>
  <c r="BB59" i="1"/>
  <c r="BA59" i="1" s="1"/>
  <c r="AZ59" i="1"/>
  <c r="AY59" i="1" s="1"/>
  <c r="AV59" i="1"/>
  <c r="AU59" i="1" s="1"/>
  <c r="AR59" i="1"/>
  <c r="AQ59" i="1" s="1"/>
  <c r="AS59" i="1" s="1"/>
  <c r="AO59" i="1"/>
  <c r="AN59" i="1" s="1"/>
  <c r="AP59" i="1" s="1"/>
  <c r="AL59" i="1"/>
  <c r="AJ59" i="1"/>
  <c r="AF59" i="1"/>
  <c r="AE59" i="1" s="1"/>
  <c r="V59" i="1"/>
  <c r="R59" i="1"/>
  <c r="Q59" i="1" s="1"/>
  <c r="G59" i="1"/>
  <c r="F59" i="1" s="1"/>
  <c r="BB58" i="1"/>
  <c r="BA58" i="1" s="1"/>
  <c r="AZ58" i="1"/>
  <c r="AY58" i="1" s="1"/>
  <c r="AV58" i="1"/>
  <c r="AU58" i="1" s="1"/>
  <c r="AR58" i="1"/>
  <c r="AQ58" i="1" s="1"/>
  <c r="AS58" i="1" s="1"/>
  <c r="AO58" i="1"/>
  <c r="AN58" i="1" s="1"/>
  <c r="AP58" i="1" s="1"/>
  <c r="AL58" i="1"/>
  <c r="AJ58" i="1"/>
  <c r="AF58" i="1"/>
  <c r="AE58" i="1" s="1"/>
  <c r="V58" i="1"/>
  <c r="R58" i="1"/>
  <c r="Q58" i="1" s="1"/>
  <c r="G58" i="1"/>
  <c r="I58" i="1" s="1"/>
  <c r="BB56" i="1"/>
  <c r="BA56" i="1" s="1"/>
  <c r="AZ56" i="1"/>
  <c r="AY56" i="1" s="1"/>
  <c r="AV56" i="1"/>
  <c r="AU56" i="1" s="1"/>
  <c r="AR56" i="1"/>
  <c r="AQ56" i="1" s="1"/>
  <c r="AT56" i="1" s="1"/>
  <c r="AO56" i="1"/>
  <c r="AN56" i="1" s="1"/>
  <c r="AP56" i="1" s="1"/>
  <c r="AL56" i="1"/>
  <c r="AJ56" i="1"/>
  <c r="AF56" i="1"/>
  <c r="AE56" i="1" s="1"/>
  <c r="V56" i="1"/>
  <c r="U56" i="1" s="1"/>
  <c r="R56" i="1"/>
  <c r="Q56" i="1" s="1"/>
  <c r="S56" i="1" s="1"/>
  <c r="G56" i="1"/>
  <c r="I56" i="1" s="1"/>
  <c r="BB55" i="1"/>
  <c r="BA55" i="1" s="1"/>
  <c r="AZ55" i="1"/>
  <c r="AY55" i="1" s="1"/>
  <c r="AV55" i="1"/>
  <c r="AU55" i="1" s="1"/>
  <c r="AR55" i="1"/>
  <c r="AQ55" i="1" s="1"/>
  <c r="AT55" i="1" s="1"/>
  <c r="AO55" i="1"/>
  <c r="AN55" i="1" s="1"/>
  <c r="AP55" i="1" s="1"/>
  <c r="AL55" i="1"/>
  <c r="AJ55" i="1"/>
  <c r="AF55" i="1"/>
  <c r="AE55" i="1" s="1"/>
  <c r="V55" i="1"/>
  <c r="R55" i="1"/>
  <c r="Q55" i="1" s="1"/>
  <c r="S55" i="1" s="1"/>
  <c r="G55" i="1"/>
  <c r="I55" i="1" s="1"/>
  <c r="BB54" i="1"/>
  <c r="BA54" i="1" s="1"/>
  <c r="AZ54" i="1"/>
  <c r="AY54" i="1" s="1"/>
  <c r="AV54" i="1"/>
  <c r="AU54" i="1" s="1"/>
  <c r="AR54" i="1"/>
  <c r="AQ54" i="1" s="1"/>
  <c r="AT54" i="1" s="1"/>
  <c r="AO54" i="1"/>
  <c r="AN54" i="1" s="1"/>
  <c r="AP54" i="1" s="1"/>
  <c r="AL54" i="1"/>
  <c r="AJ54" i="1"/>
  <c r="AF54" i="1"/>
  <c r="AE54" i="1" s="1"/>
  <c r="AG54" i="1" s="1"/>
  <c r="V54" i="1"/>
  <c r="U54" i="1" s="1"/>
  <c r="R54" i="1"/>
  <c r="Q54" i="1" s="1"/>
  <c r="G54" i="1"/>
  <c r="BB53" i="1"/>
  <c r="BA53" i="1" s="1"/>
  <c r="AZ53" i="1"/>
  <c r="AY53" i="1" s="1"/>
  <c r="AV53" i="1"/>
  <c r="AU53" i="1" s="1"/>
  <c r="AR53" i="1"/>
  <c r="AQ53" i="1" s="1"/>
  <c r="AS53" i="1" s="1"/>
  <c r="AO53" i="1"/>
  <c r="AN53" i="1" s="1"/>
  <c r="AP53" i="1" s="1"/>
  <c r="AL53" i="1"/>
  <c r="AJ53" i="1"/>
  <c r="AF53" i="1"/>
  <c r="AE53" i="1" s="1"/>
  <c r="AH53" i="1" s="1"/>
  <c r="V53" i="1"/>
  <c r="U53" i="1" s="1"/>
  <c r="R53" i="1"/>
  <c r="Q53" i="1" s="1"/>
  <c r="S53" i="1" s="1"/>
  <c r="G53" i="1"/>
  <c r="BB52" i="1"/>
  <c r="BA52" i="1" s="1"/>
  <c r="AZ52" i="1"/>
  <c r="AY52" i="1" s="1"/>
  <c r="AV52" i="1"/>
  <c r="AU52" i="1" s="1"/>
  <c r="AR52" i="1"/>
  <c r="AQ52" i="1" s="1"/>
  <c r="AS52" i="1" s="1"/>
  <c r="AO52" i="1"/>
  <c r="AN52" i="1" s="1"/>
  <c r="AP52" i="1" s="1"/>
  <c r="AL52" i="1"/>
  <c r="AJ52" i="1"/>
  <c r="AF52" i="1"/>
  <c r="AE52" i="1" s="1"/>
  <c r="V52" i="1"/>
  <c r="U52" i="1" s="1"/>
  <c r="R52" i="1"/>
  <c r="Q52" i="1" s="1"/>
  <c r="S52" i="1" s="1"/>
  <c r="G52" i="1"/>
  <c r="BB51" i="1"/>
  <c r="BA51" i="1" s="1"/>
  <c r="AZ51" i="1"/>
  <c r="AY51" i="1" s="1"/>
  <c r="AV51" i="1"/>
  <c r="AU51" i="1" s="1"/>
  <c r="AR51" i="1"/>
  <c r="AQ51" i="1" s="1"/>
  <c r="AS51" i="1" s="1"/>
  <c r="AO51" i="1"/>
  <c r="AN51" i="1" s="1"/>
  <c r="AP51" i="1" s="1"/>
  <c r="AL51" i="1"/>
  <c r="AJ51" i="1"/>
  <c r="AF51" i="1"/>
  <c r="AE51" i="1" s="1"/>
  <c r="V51" i="1"/>
  <c r="U51" i="1" s="1"/>
  <c r="R51" i="1"/>
  <c r="Q51" i="1" s="1"/>
  <c r="S51" i="1" s="1"/>
  <c r="G51" i="1"/>
  <c r="BB50" i="1"/>
  <c r="BA50" i="1" s="1"/>
  <c r="AZ50" i="1"/>
  <c r="AY50" i="1" s="1"/>
  <c r="AV50" i="1"/>
  <c r="AU50" i="1" s="1"/>
  <c r="AR50" i="1"/>
  <c r="AQ50" i="1" s="1"/>
  <c r="AS50" i="1" s="1"/>
  <c r="AO50" i="1"/>
  <c r="AN50" i="1" s="1"/>
  <c r="AP50" i="1" s="1"/>
  <c r="AL50" i="1"/>
  <c r="AJ50" i="1"/>
  <c r="AF50" i="1"/>
  <c r="AE50" i="1" s="1"/>
  <c r="AH50" i="1" s="1"/>
  <c r="V50" i="1"/>
  <c r="U50" i="1" s="1"/>
  <c r="R50" i="1"/>
  <c r="Q50" i="1" s="1"/>
  <c r="S50" i="1" s="1"/>
  <c r="G50" i="1"/>
  <c r="BB49" i="1"/>
  <c r="BA49" i="1" s="1"/>
  <c r="AZ49" i="1"/>
  <c r="AY49" i="1" s="1"/>
  <c r="AV49" i="1"/>
  <c r="AU49" i="1" s="1"/>
  <c r="AR49" i="1"/>
  <c r="AQ49" i="1" s="1"/>
  <c r="AO49" i="1"/>
  <c r="AN49" i="1" s="1"/>
  <c r="AP49" i="1" s="1"/>
  <c r="AL49" i="1"/>
  <c r="AJ49" i="1"/>
  <c r="AF49" i="1"/>
  <c r="AE49" i="1" s="1"/>
  <c r="V49" i="1"/>
  <c r="U49" i="1" s="1"/>
  <c r="R49" i="1"/>
  <c r="Q49" i="1" s="1"/>
  <c r="S49" i="1" s="1"/>
  <c r="G49" i="1"/>
  <c r="F49" i="1" s="1"/>
  <c r="BB48" i="1"/>
  <c r="BA48" i="1" s="1"/>
  <c r="AZ48" i="1"/>
  <c r="AY48" i="1" s="1"/>
  <c r="AV48" i="1"/>
  <c r="AU48" i="1" s="1"/>
  <c r="AR48" i="1"/>
  <c r="AQ48" i="1" s="1"/>
  <c r="AO48" i="1"/>
  <c r="AN48" i="1" s="1"/>
  <c r="AP48" i="1" s="1"/>
  <c r="AL48" i="1"/>
  <c r="AJ48" i="1"/>
  <c r="AF48" i="1"/>
  <c r="AE48" i="1" s="1"/>
  <c r="AI48" i="1" s="1"/>
  <c r="V48" i="1"/>
  <c r="X48" i="1" s="1"/>
  <c r="W48" i="1" s="1"/>
  <c r="R48" i="1"/>
  <c r="Q48" i="1" s="1"/>
  <c r="T48" i="1" s="1"/>
  <c r="G48" i="1"/>
  <c r="F48" i="1" s="1"/>
  <c r="BB47" i="1"/>
  <c r="BA47" i="1" s="1"/>
  <c r="AZ47" i="1"/>
  <c r="AY47" i="1" s="1"/>
  <c r="AV47" i="1"/>
  <c r="AU47" i="1" s="1"/>
  <c r="AR47" i="1"/>
  <c r="AQ47" i="1" s="1"/>
  <c r="AO47" i="1"/>
  <c r="AN47" i="1" s="1"/>
  <c r="AP47" i="1" s="1"/>
  <c r="AL47" i="1"/>
  <c r="AJ47" i="1"/>
  <c r="AF47" i="1"/>
  <c r="AE47" i="1" s="1"/>
  <c r="AI47" i="1" s="1"/>
  <c r="V47" i="1"/>
  <c r="X47" i="1" s="1"/>
  <c r="W47" i="1" s="1"/>
  <c r="R47" i="1"/>
  <c r="Q47" i="1" s="1"/>
  <c r="T47" i="1" s="1"/>
  <c r="G47" i="1"/>
  <c r="F47" i="1" s="1"/>
  <c r="BB46" i="1"/>
  <c r="BA46" i="1" s="1"/>
  <c r="AZ46" i="1"/>
  <c r="AY46" i="1" s="1"/>
  <c r="AV46" i="1"/>
  <c r="AU46" i="1" s="1"/>
  <c r="AR46" i="1"/>
  <c r="AQ46" i="1" s="1"/>
  <c r="AO46" i="1"/>
  <c r="AN46" i="1" s="1"/>
  <c r="AP46" i="1" s="1"/>
  <c r="AL46" i="1"/>
  <c r="AJ46" i="1"/>
  <c r="AF46" i="1"/>
  <c r="AE46" i="1" s="1"/>
  <c r="AI46" i="1" s="1"/>
  <c r="V46" i="1"/>
  <c r="X46" i="1" s="1"/>
  <c r="W46" i="1" s="1"/>
  <c r="R46" i="1"/>
  <c r="Q46" i="1" s="1"/>
  <c r="G46" i="1"/>
  <c r="F46" i="1" s="1"/>
  <c r="BB45" i="1"/>
  <c r="BA45" i="1" s="1"/>
  <c r="AZ45" i="1"/>
  <c r="AY45" i="1" s="1"/>
  <c r="AV45" i="1"/>
  <c r="AU45" i="1" s="1"/>
  <c r="AR45" i="1"/>
  <c r="AQ45" i="1" s="1"/>
  <c r="AO45" i="1"/>
  <c r="AN45" i="1" s="1"/>
  <c r="AP45" i="1" s="1"/>
  <c r="AL45" i="1"/>
  <c r="AJ45" i="1"/>
  <c r="AF45" i="1"/>
  <c r="AE45" i="1" s="1"/>
  <c r="AI45" i="1" s="1"/>
  <c r="V45" i="1"/>
  <c r="X45" i="1" s="1"/>
  <c r="W45" i="1" s="1"/>
  <c r="R45" i="1"/>
  <c r="Q45" i="1" s="1"/>
  <c r="G45" i="1"/>
  <c r="F45" i="1" s="1"/>
  <c r="BB43" i="1"/>
  <c r="BA43" i="1" s="1"/>
  <c r="AZ43" i="1"/>
  <c r="AY43" i="1" s="1"/>
  <c r="AV43" i="1"/>
  <c r="AU43" i="1" s="1"/>
  <c r="AR43" i="1"/>
  <c r="AQ43" i="1" s="1"/>
  <c r="AO43" i="1"/>
  <c r="AN43" i="1" s="1"/>
  <c r="AP43" i="1" s="1"/>
  <c r="AL43" i="1"/>
  <c r="AJ43" i="1"/>
  <c r="AF43" i="1"/>
  <c r="AE43" i="1" s="1"/>
  <c r="AI43" i="1" s="1"/>
  <c r="V43" i="1"/>
  <c r="X43" i="1" s="1"/>
  <c r="W43" i="1" s="1"/>
  <c r="R43" i="1"/>
  <c r="Q43" i="1" s="1"/>
  <c r="T43" i="1" s="1"/>
  <c r="G43" i="1"/>
  <c r="F43" i="1" s="1"/>
  <c r="BB42" i="1"/>
  <c r="BA42" i="1" s="1"/>
  <c r="AZ42" i="1"/>
  <c r="AY42" i="1" s="1"/>
  <c r="AV42" i="1"/>
  <c r="AU42" i="1" s="1"/>
  <c r="AR42" i="1"/>
  <c r="AQ42" i="1" s="1"/>
  <c r="AO42" i="1"/>
  <c r="AN42" i="1" s="1"/>
  <c r="AP42" i="1" s="1"/>
  <c r="AL42" i="1"/>
  <c r="AJ42" i="1"/>
  <c r="AF42" i="1"/>
  <c r="AE42" i="1" s="1"/>
  <c r="AI42" i="1" s="1"/>
  <c r="V42" i="1"/>
  <c r="X42" i="1" s="1"/>
  <c r="W42" i="1" s="1"/>
  <c r="R42" i="1"/>
  <c r="Q42" i="1" s="1"/>
  <c r="T42" i="1" s="1"/>
  <c r="G42" i="1"/>
  <c r="F42" i="1" s="1"/>
  <c r="BB41" i="1"/>
  <c r="BA41" i="1" s="1"/>
  <c r="AZ41" i="1"/>
  <c r="AY41" i="1" s="1"/>
  <c r="AV41" i="1"/>
  <c r="AU41" i="1" s="1"/>
  <c r="AR41" i="1"/>
  <c r="AQ41" i="1" s="1"/>
  <c r="AO41" i="1"/>
  <c r="AN41" i="1" s="1"/>
  <c r="AP41" i="1" s="1"/>
  <c r="AL41" i="1"/>
  <c r="AJ41" i="1"/>
  <c r="AF41" i="1"/>
  <c r="AE41" i="1" s="1"/>
  <c r="AI41" i="1" s="1"/>
  <c r="V41" i="1"/>
  <c r="X41" i="1" s="1"/>
  <c r="W41" i="1" s="1"/>
  <c r="R41" i="1"/>
  <c r="Q41" i="1" s="1"/>
  <c r="G41" i="1"/>
  <c r="F41" i="1" s="1"/>
  <c r="BB40" i="1"/>
  <c r="BA40" i="1" s="1"/>
  <c r="AZ40" i="1"/>
  <c r="AY40" i="1" s="1"/>
  <c r="AV40" i="1"/>
  <c r="AU40" i="1" s="1"/>
  <c r="AR40" i="1"/>
  <c r="AQ40" i="1" s="1"/>
  <c r="AO40" i="1"/>
  <c r="AN40" i="1" s="1"/>
  <c r="AP40" i="1" s="1"/>
  <c r="AL40" i="1"/>
  <c r="AJ40" i="1"/>
  <c r="AF40" i="1"/>
  <c r="AE40" i="1" s="1"/>
  <c r="AI40" i="1" s="1"/>
  <c r="V40" i="1"/>
  <c r="U40" i="1" s="1"/>
  <c r="R40" i="1"/>
  <c r="Q40" i="1" s="1"/>
  <c r="G40" i="1"/>
  <c r="F40" i="1" s="1"/>
  <c r="BB39" i="1"/>
  <c r="BA39" i="1" s="1"/>
  <c r="AZ39" i="1"/>
  <c r="AY39" i="1" s="1"/>
  <c r="AV39" i="1"/>
  <c r="AU39" i="1" s="1"/>
  <c r="AR39" i="1"/>
  <c r="AQ39" i="1" s="1"/>
  <c r="AO39" i="1"/>
  <c r="AN39" i="1" s="1"/>
  <c r="AP39" i="1" s="1"/>
  <c r="AL39" i="1"/>
  <c r="AJ39" i="1"/>
  <c r="AF39" i="1"/>
  <c r="AE39" i="1" s="1"/>
  <c r="AI39" i="1" s="1"/>
  <c r="V39" i="1"/>
  <c r="U39" i="1" s="1"/>
  <c r="R39" i="1"/>
  <c r="Q39" i="1" s="1"/>
  <c r="G39" i="1"/>
  <c r="F39" i="1" s="1"/>
  <c r="BB38" i="1"/>
  <c r="BA38" i="1" s="1"/>
  <c r="AZ38" i="1"/>
  <c r="AY38" i="1" s="1"/>
  <c r="AV38" i="1"/>
  <c r="AU38" i="1" s="1"/>
  <c r="AR38" i="1"/>
  <c r="AQ38" i="1" s="1"/>
  <c r="AO38" i="1"/>
  <c r="AN38" i="1" s="1"/>
  <c r="AP38" i="1" s="1"/>
  <c r="AL38" i="1"/>
  <c r="AJ38" i="1"/>
  <c r="AF38" i="1"/>
  <c r="AE38" i="1" s="1"/>
  <c r="AI38" i="1" s="1"/>
  <c r="V38" i="1"/>
  <c r="X38" i="1" s="1"/>
  <c r="W38" i="1" s="1"/>
  <c r="R38" i="1"/>
  <c r="Q38" i="1" s="1"/>
  <c r="G38" i="1"/>
  <c r="F38" i="1" s="1"/>
  <c r="BB37" i="1"/>
  <c r="BA37" i="1" s="1"/>
  <c r="AZ37" i="1"/>
  <c r="AY37" i="1" s="1"/>
  <c r="AV37" i="1"/>
  <c r="AU37" i="1" s="1"/>
  <c r="AR37" i="1"/>
  <c r="AQ37" i="1" s="1"/>
  <c r="AO37" i="1"/>
  <c r="AN37" i="1" s="1"/>
  <c r="AP37" i="1" s="1"/>
  <c r="AL37" i="1"/>
  <c r="AJ37" i="1"/>
  <c r="AF37" i="1"/>
  <c r="AE37" i="1" s="1"/>
  <c r="AI37" i="1" s="1"/>
  <c r="V37" i="1"/>
  <c r="X37" i="1" s="1"/>
  <c r="W37" i="1" s="1"/>
  <c r="R37" i="1"/>
  <c r="Q37" i="1" s="1"/>
  <c r="T37" i="1" s="1"/>
  <c r="G37" i="1"/>
  <c r="F37" i="1" s="1"/>
  <c r="BB36" i="1"/>
  <c r="BA36" i="1" s="1"/>
  <c r="AZ36" i="1"/>
  <c r="AY36" i="1" s="1"/>
  <c r="AV36" i="1"/>
  <c r="AU36" i="1" s="1"/>
  <c r="AR36" i="1"/>
  <c r="AQ36" i="1" s="1"/>
  <c r="AO36" i="1"/>
  <c r="AN36" i="1" s="1"/>
  <c r="AP36" i="1" s="1"/>
  <c r="AL36" i="1"/>
  <c r="AJ36" i="1"/>
  <c r="AF36" i="1"/>
  <c r="AE36" i="1" s="1"/>
  <c r="AI36" i="1" s="1"/>
  <c r="V36" i="1"/>
  <c r="X36" i="1" s="1"/>
  <c r="W36" i="1" s="1"/>
  <c r="R36" i="1"/>
  <c r="Q36" i="1" s="1"/>
  <c r="T36" i="1" s="1"/>
  <c r="G36" i="1"/>
  <c r="F36" i="1" s="1"/>
  <c r="BB35" i="1"/>
  <c r="BA35" i="1" s="1"/>
  <c r="AZ35" i="1"/>
  <c r="AY35" i="1" s="1"/>
  <c r="AV35" i="1"/>
  <c r="AU35" i="1" s="1"/>
  <c r="AR35" i="1"/>
  <c r="AQ35" i="1" s="1"/>
  <c r="AO35" i="1"/>
  <c r="AN35" i="1" s="1"/>
  <c r="AP35" i="1" s="1"/>
  <c r="AL35" i="1"/>
  <c r="AJ35" i="1"/>
  <c r="AF35" i="1"/>
  <c r="AE35" i="1" s="1"/>
  <c r="AI35" i="1" s="1"/>
  <c r="V35" i="1"/>
  <c r="X35" i="1" s="1"/>
  <c r="W35" i="1" s="1"/>
  <c r="R35" i="1"/>
  <c r="Q35" i="1" s="1"/>
  <c r="G35" i="1"/>
  <c r="F35" i="1" s="1"/>
  <c r="BB34" i="1"/>
  <c r="BA34" i="1" s="1"/>
  <c r="AZ34" i="1"/>
  <c r="AY34" i="1" s="1"/>
  <c r="AV34" i="1"/>
  <c r="AU34" i="1" s="1"/>
  <c r="AR34" i="1"/>
  <c r="AQ34" i="1" s="1"/>
  <c r="AO34" i="1"/>
  <c r="AN34" i="1" s="1"/>
  <c r="AP34" i="1" s="1"/>
  <c r="AL34" i="1"/>
  <c r="AJ34" i="1"/>
  <c r="AF34" i="1"/>
  <c r="AE34" i="1" s="1"/>
  <c r="AI34" i="1" s="1"/>
  <c r="V34" i="1"/>
  <c r="X34" i="1" s="1"/>
  <c r="W34" i="1" s="1"/>
  <c r="R34" i="1"/>
  <c r="Q34" i="1" s="1"/>
  <c r="G34" i="1"/>
  <c r="F34" i="1" s="1"/>
  <c r="BA86" i="1"/>
  <c r="BA85" i="1"/>
  <c r="BA82" i="1"/>
  <c r="AY86" i="1"/>
  <c r="AY85" i="1"/>
  <c r="AY82" i="1"/>
  <c r="AZ33" i="1"/>
  <c r="AY33" i="1" s="1"/>
  <c r="AU86" i="1"/>
  <c r="AU85" i="1"/>
  <c r="AU82" i="1"/>
  <c r="AQ86" i="1"/>
  <c r="AT86" i="1" s="1"/>
  <c r="AQ85" i="1"/>
  <c r="AS85" i="1" s="1"/>
  <c r="AQ82" i="1"/>
  <c r="AS82" i="1" s="1"/>
  <c r="AN86" i="1"/>
  <c r="AP86" i="1" s="1"/>
  <c r="AN85" i="1"/>
  <c r="AP85" i="1" s="1"/>
  <c r="AN82" i="1"/>
  <c r="AP82" i="1" s="1"/>
  <c r="AL86" i="1"/>
  <c r="AL85" i="1"/>
  <c r="AL82" i="1"/>
  <c r="AL78" i="1"/>
  <c r="AL33" i="1"/>
  <c r="AJ86" i="1"/>
  <c r="AJ85" i="1"/>
  <c r="AJ82" i="1"/>
  <c r="AJ78" i="1"/>
  <c r="AE86" i="1"/>
  <c r="AE85" i="1"/>
  <c r="AE82" i="1"/>
  <c r="W86" i="1"/>
  <c r="AB86" i="1" s="1"/>
  <c r="W85" i="1"/>
  <c r="Z85" i="1" s="1"/>
  <c r="W82" i="1"/>
  <c r="AA82" i="1" s="1"/>
  <c r="U86" i="1"/>
  <c r="U85" i="1"/>
  <c r="U82" i="1"/>
  <c r="Q86" i="1"/>
  <c r="S86" i="1" s="1"/>
  <c r="Q85" i="1"/>
  <c r="S85" i="1" s="1"/>
  <c r="Q82" i="1"/>
  <c r="S82" i="1" s="1"/>
  <c r="H86" i="1"/>
  <c r="H85" i="1"/>
  <c r="H82" i="1"/>
  <c r="F82" i="1"/>
  <c r="F85" i="1"/>
  <c r="F86" i="1"/>
  <c r="BB33" i="1"/>
  <c r="BA33" i="1" s="1"/>
  <c r="AV33" i="1"/>
  <c r="AU33" i="1" s="1"/>
  <c r="AR33" i="1"/>
  <c r="AO33" i="1"/>
  <c r="AN33" i="1" s="1"/>
  <c r="AP33" i="1" s="1"/>
  <c r="AJ33" i="1"/>
  <c r="AF33" i="1"/>
  <c r="AE33" i="1" s="1"/>
  <c r="V33" i="1"/>
  <c r="X33" i="1" s="1"/>
  <c r="W33" i="1" s="1"/>
  <c r="R33" i="1"/>
  <c r="Q33" i="1" s="1"/>
  <c r="G33" i="1"/>
  <c r="I33" i="1" s="1"/>
  <c r="E82" i="1"/>
  <c r="E80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6" i="1"/>
  <c r="E55" i="1"/>
  <c r="E54" i="1"/>
  <c r="E53" i="1"/>
  <c r="E52" i="1"/>
  <c r="E51" i="1"/>
  <c r="E50" i="1"/>
  <c r="E49" i="1"/>
  <c r="E48" i="1"/>
  <c r="E47" i="1"/>
  <c r="E42" i="1"/>
  <c r="E40" i="1"/>
  <c r="E38" i="1"/>
  <c r="E37" i="1"/>
  <c r="E35" i="1"/>
  <c r="E34" i="1"/>
  <c r="E33" i="1"/>
  <c r="E29" i="1"/>
  <c r="E27" i="1"/>
  <c r="E26" i="1"/>
  <c r="E25" i="1"/>
  <c r="E24" i="1"/>
  <c r="E23" i="1"/>
  <c r="E22" i="1"/>
  <c r="E19" i="1"/>
  <c r="E18" i="1"/>
  <c r="E17" i="1"/>
  <c r="E14" i="1"/>
  <c r="E12" i="1"/>
  <c r="E11" i="1"/>
  <c r="BB29" i="1"/>
  <c r="BB19" i="1"/>
  <c r="BA19" i="1" s="1"/>
  <c r="BB12" i="1"/>
  <c r="BA12" i="1" s="1"/>
  <c r="BB14" i="1"/>
  <c r="BA14" i="1" s="1"/>
  <c r="BB17" i="1"/>
  <c r="BA17" i="1" s="1"/>
  <c r="BB11" i="1"/>
  <c r="BA11" i="1" s="1"/>
  <c r="BA21" i="1"/>
  <c r="BA20" i="1"/>
  <c r="AS12" i="1"/>
  <c r="AT12" i="1"/>
  <c r="AS14" i="1"/>
  <c r="AT14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9" i="1"/>
  <c r="AT29" i="1"/>
  <c r="AT11" i="1"/>
  <c r="AS11" i="1"/>
  <c r="AP20" i="1"/>
  <c r="AP21" i="1"/>
  <c r="AP27" i="1"/>
  <c r="AP26" i="1"/>
  <c r="AP25" i="1"/>
  <c r="AP24" i="1"/>
  <c r="AP23" i="1"/>
  <c r="AP22" i="1"/>
  <c r="AP12" i="1"/>
  <c r="AP14" i="1"/>
  <c r="AP17" i="1"/>
  <c r="AP18" i="1"/>
  <c r="AP19" i="1"/>
  <c r="AP11" i="1"/>
  <c r="Z20" i="1"/>
  <c r="AA20" i="1"/>
  <c r="AB20" i="1"/>
  <c r="AC20" i="1"/>
  <c r="AD20" i="1"/>
  <c r="Z21" i="1"/>
  <c r="AA21" i="1"/>
  <c r="AB21" i="1"/>
  <c r="AC21" i="1"/>
  <c r="AD21" i="1"/>
  <c r="S12" i="1"/>
  <c r="T12" i="1"/>
  <c r="S14" i="1"/>
  <c r="T14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9" i="1"/>
  <c r="T29" i="1"/>
  <c r="T11" i="1"/>
  <c r="S11" i="1"/>
  <c r="X12" i="1"/>
  <c r="X14" i="1"/>
  <c r="X18" i="1"/>
  <c r="Y20" i="1"/>
  <c r="Y21" i="1"/>
  <c r="X24" i="1"/>
  <c r="I12" i="1"/>
  <c r="J12" i="1" s="1"/>
  <c r="I14" i="1"/>
  <c r="I17" i="1"/>
  <c r="I18" i="1"/>
  <c r="I19" i="1"/>
  <c r="I22" i="1"/>
  <c r="I23" i="1"/>
  <c r="I25" i="1"/>
  <c r="I26" i="1"/>
  <c r="I27" i="1"/>
  <c r="I29" i="1"/>
  <c r="I11" i="1"/>
  <c r="J11" i="1" s="1"/>
  <c r="BB27" i="1"/>
  <c r="BB26" i="1"/>
  <c r="BB25" i="1"/>
  <c r="BB24" i="1"/>
  <c r="BB23" i="1"/>
  <c r="BB22" i="1"/>
  <c r="AZ29" i="1"/>
  <c r="AZ27" i="1"/>
  <c r="AZ26" i="1"/>
  <c r="AZ25" i="1"/>
  <c r="AZ24" i="1"/>
  <c r="AZ23" i="1"/>
  <c r="AZ22" i="1"/>
  <c r="AZ19" i="1"/>
  <c r="AZ18" i="1"/>
  <c r="AZ17" i="1"/>
  <c r="AZ14" i="1"/>
  <c r="AZ12" i="1"/>
  <c r="AZ11" i="1"/>
  <c r="AV27" i="1"/>
  <c r="AV26" i="1"/>
  <c r="AV25" i="1"/>
  <c r="AV24" i="1"/>
  <c r="AV23" i="1"/>
  <c r="AV22" i="1"/>
  <c r="AV19" i="1"/>
  <c r="AV18" i="1"/>
  <c r="AV17" i="1"/>
  <c r="AV14" i="1"/>
  <c r="AV12" i="1"/>
  <c r="AV11" i="1"/>
  <c r="AV29" i="1" s="1"/>
  <c r="AR29" i="1"/>
  <c r="AR27" i="1"/>
  <c r="AR26" i="1"/>
  <c r="AR25" i="1"/>
  <c r="AR24" i="1"/>
  <c r="AR23" i="1"/>
  <c r="AR22" i="1"/>
  <c r="AR14" i="1"/>
  <c r="AR12" i="1"/>
  <c r="AR11" i="1"/>
  <c r="AM29" i="1"/>
  <c r="AM27" i="1"/>
  <c r="AM26" i="1"/>
  <c r="AM25" i="1"/>
  <c r="AM24" i="1"/>
  <c r="AM23" i="1"/>
  <c r="AM22" i="1"/>
  <c r="AM19" i="1"/>
  <c r="AM18" i="1"/>
  <c r="AM17" i="1"/>
  <c r="AM14" i="1"/>
  <c r="AM12" i="1"/>
  <c r="AM11" i="1"/>
  <c r="AK29" i="1"/>
  <c r="AK27" i="1"/>
  <c r="AK26" i="1"/>
  <c r="AK25" i="1"/>
  <c r="AK24" i="1"/>
  <c r="AK23" i="1"/>
  <c r="AK22" i="1"/>
  <c r="AK19" i="1"/>
  <c r="AK18" i="1"/>
  <c r="AK17" i="1"/>
  <c r="AK14" i="1"/>
  <c r="AK12" i="1"/>
  <c r="AK11" i="1"/>
  <c r="AF29" i="1"/>
  <c r="AF27" i="1"/>
  <c r="AF26" i="1"/>
  <c r="AF25" i="1"/>
  <c r="AF24" i="1"/>
  <c r="AF23" i="1"/>
  <c r="AF22" i="1"/>
  <c r="AF14" i="1"/>
  <c r="AF12" i="1"/>
  <c r="AF11" i="1"/>
  <c r="X29" i="1"/>
  <c r="X26" i="1"/>
  <c r="X22" i="1"/>
  <c r="X17" i="1"/>
  <c r="V29" i="1"/>
  <c r="V27" i="1"/>
  <c r="V26" i="1"/>
  <c r="V25" i="1"/>
  <c r="V24" i="1"/>
  <c r="V23" i="1"/>
  <c r="V22" i="1"/>
  <c r="V19" i="1"/>
  <c r="V18" i="1"/>
  <c r="V14" i="1"/>
  <c r="V12" i="1"/>
  <c r="V11" i="1"/>
  <c r="R29" i="1"/>
  <c r="R27" i="1"/>
  <c r="R26" i="1"/>
  <c r="R25" i="1"/>
  <c r="R24" i="1"/>
  <c r="R23" i="1"/>
  <c r="R22" i="1"/>
  <c r="R14" i="1"/>
  <c r="R12" i="1"/>
  <c r="R11" i="1"/>
  <c r="I24" i="1"/>
  <c r="G12" i="1"/>
  <c r="G14" i="1"/>
  <c r="G17" i="1"/>
  <c r="G18" i="1"/>
  <c r="G19" i="1"/>
  <c r="G22" i="1"/>
  <c r="G23" i="1"/>
  <c r="G24" i="1"/>
  <c r="G25" i="1"/>
  <c r="G26" i="1"/>
  <c r="G27" i="1"/>
  <c r="G29" i="1"/>
  <c r="G11" i="1"/>
  <c r="AD86" i="1" l="1"/>
  <c r="AR16" i="1"/>
  <c r="AQ16" i="1" s="1"/>
  <c r="AR17" i="1"/>
  <c r="AR18" i="1"/>
  <c r="AQ18" i="1" s="1"/>
  <c r="AR19" i="1"/>
  <c r="AQ19" i="1" s="1"/>
  <c r="M16" i="1"/>
  <c r="L16" i="1"/>
  <c r="P16" i="1"/>
  <c r="K16" i="1"/>
  <c r="J16" i="1"/>
  <c r="O16" i="1"/>
  <c r="N16" i="1"/>
  <c r="T82" i="1"/>
  <c r="AA86" i="1"/>
  <c r="AT82" i="1"/>
  <c r="AG81" i="1"/>
  <c r="Z82" i="1"/>
  <c r="Z86" i="1"/>
  <c r="T85" i="1"/>
  <c r="AD82" i="1"/>
  <c r="L56" i="1"/>
  <c r="K56" i="1"/>
  <c r="K76" i="1"/>
  <c r="L76" i="1"/>
  <c r="K95" i="1"/>
  <c r="L95" i="1"/>
  <c r="H33" i="1"/>
  <c r="L33" i="1"/>
  <c r="K33" i="1"/>
  <c r="P55" i="1"/>
  <c r="K55" i="1"/>
  <c r="L55" i="1"/>
  <c r="L75" i="1"/>
  <c r="K75" i="1"/>
  <c r="M58" i="1"/>
  <c r="K58" i="1"/>
  <c r="L58" i="1"/>
  <c r="K74" i="1"/>
  <c r="L74" i="1"/>
  <c r="K84" i="1"/>
  <c r="L84" i="1"/>
  <c r="AF17" i="1"/>
  <c r="AF18" i="1"/>
  <c r="K23" i="1"/>
  <c r="J23" i="1"/>
  <c r="L23" i="1"/>
  <c r="K27" i="1"/>
  <c r="J27" i="1"/>
  <c r="L27" i="1"/>
  <c r="K14" i="1"/>
  <c r="J14" i="1"/>
  <c r="L14" i="1"/>
  <c r="L24" i="1"/>
  <c r="J24" i="1"/>
  <c r="K24" i="1"/>
  <c r="K26" i="1"/>
  <c r="L26" i="1"/>
  <c r="J26" i="1"/>
  <c r="K19" i="1"/>
  <c r="J19" i="1"/>
  <c r="L19" i="1"/>
  <c r="K12" i="1"/>
  <c r="L12" i="1"/>
  <c r="L29" i="1"/>
  <c r="J29" i="1"/>
  <c r="K29" i="1"/>
  <c r="K17" i="1"/>
  <c r="L17" i="1"/>
  <c r="J17" i="1"/>
  <c r="K22" i="1"/>
  <c r="J22" i="1"/>
  <c r="L22" i="1"/>
  <c r="L11" i="1"/>
  <c r="K11" i="1"/>
  <c r="K25" i="1"/>
  <c r="J25" i="1"/>
  <c r="L25" i="1"/>
  <c r="K18" i="1"/>
  <c r="L18" i="1"/>
  <c r="J18" i="1"/>
  <c r="E46" i="1"/>
  <c r="E74" i="1"/>
  <c r="AC82" i="1"/>
  <c r="E76" i="1"/>
  <c r="AC85" i="1"/>
  <c r="AB82" i="1"/>
  <c r="AT81" i="1"/>
  <c r="Y82" i="1"/>
  <c r="Y85" i="1"/>
  <c r="AS86" i="1"/>
  <c r="U66" i="1"/>
  <c r="E75" i="1"/>
  <c r="U94" i="1"/>
  <c r="U37" i="1"/>
  <c r="U38" i="1"/>
  <c r="AT50" i="1"/>
  <c r="E43" i="1"/>
  <c r="I43" i="1"/>
  <c r="X65" i="1"/>
  <c r="W65" i="1" s="1"/>
  <c r="AB65" i="1" s="1"/>
  <c r="E78" i="1"/>
  <c r="U83" i="1"/>
  <c r="E79" i="1"/>
  <c r="U34" i="1"/>
  <c r="U79" i="1"/>
  <c r="E45" i="1"/>
  <c r="I40" i="1"/>
  <c r="E36" i="1"/>
  <c r="U78" i="1"/>
  <c r="I37" i="1"/>
  <c r="J37" i="1" s="1"/>
  <c r="I66" i="1"/>
  <c r="AT66" i="1"/>
  <c r="I83" i="1"/>
  <c r="I79" i="1"/>
  <c r="M79" i="1" s="1"/>
  <c r="I94" i="1"/>
  <c r="I47" i="1"/>
  <c r="P47" i="1" s="1"/>
  <c r="E41" i="1"/>
  <c r="E73" i="1"/>
  <c r="E77" i="1"/>
  <c r="E84" i="1"/>
  <c r="U43" i="1"/>
  <c r="U45" i="1"/>
  <c r="AS56" i="1"/>
  <c r="X64" i="1"/>
  <c r="W64" i="1" s="1"/>
  <c r="AA64" i="1" s="1"/>
  <c r="U70" i="1"/>
  <c r="AS48" i="1"/>
  <c r="AT48" i="1"/>
  <c r="AT84" i="1"/>
  <c r="AS84" i="1"/>
  <c r="AI96" i="1"/>
  <c r="AG96" i="1"/>
  <c r="AT85" i="1"/>
  <c r="I36" i="1"/>
  <c r="AT52" i="1"/>
  <c r="X54" i="1"/>
  <c r="W54" i="1" s="1"/>
  <c r="AB54" i="1" s="1"/>
  <c r="F55" i="1"/>
  <c r="X56" i="1"/>
  <c r="W56" i="1" s="1"/>
  <c r="AC56" i="1" s="1"/>
  <c r="J58" i="1"/>
  <c r="U68" i="1"/>
  <c r="I70" i="1"/>
  <c r="AT70" i="1"/>
  <c r="U77" i="1"/>
  <c r="I78" i="1"/>
  <c r="T86" i="1"/>
  <c r="Y86" i="1"/>
  <c r="AA85" i="1"/>
  <c r="F33" i="1"/>
  <c r="AS54" i="1"/>
  <c r="S65" i="1"/>
  <c r="AB85" i="1"/>
  <c r="I42" i="1"/>
  <c r="AC86" i="1"/>
  <c r="AD85" i="1"/>
  <c r="E39" i="1"/>
  <c r="S37" i="1"/>
  <c r="S43" i="1"/>
  <c r="F58" i="1"/>
  <c r="AT58" i="1"/>
  <c r="U62" i="1"/>
  <c r="AT62" i="1"/>
  <c r="I68" i="1"/>
  <c r="P68" i="1" s="1"/>
  <c r="U75" i="1"/>
  <c r="I77" i="1"/>
  <c r="AH81" i="1"/>
  <c r="X84" i="1"/>
  <c r="W84" i="1" s="1"/>
  <c r="Y84" i="1" s="1"/>
  <c r="F84" i="1"/>
  <c r="U96" i="1"/>
  <c r="X97" i="1"/>
  <c r="W97" i="1" s="1"/>
  <c r="Z97" i="1" s="1"/>
  <c r="T38" i="1"/>
  <c r="S38" i="1"/>
  <c r="T34" i="1"/>
  <c r="S34" i="1"/>
  <c r="T35" i="1"/>
  <c r="S35" i="1"/>
  <c r="T41" i="1"/>
  <c r="S41" i="1"/>
  <c r="AS49" i="1"/>
  <c r="AT49" i="1"/>
  <c r="T45" i="1"/>
  <c r="S45" i="1"/>
  <c r="T46" i="1"/>
  <c r="S46" i="1"/>
  <c r="I34" i="1"/>
  <c r="I38" i="1"/>
  <c r="I45" i="1"/>
  <c r="P45" i="1" s="1"/>
  <c r="AI49" i="1"/>
  <c r="AG49" i="1"/>
  <c r="AT51" i="1"/>
  <c r="I52" i="1"/>
  <c r="N52" i="1" s="1"/>
  <c r="F52" i="1"/>
  <c r="AI52" i="1"/>
  <c r="AG52" i="1"/>
  <c r="AT53" i="1"/>
  <c r="I54" i="1"/>
  <c r="F54" i="1"/>
  <c r="AH58" i="1"/>
  <c r="AG58" i="1"/>
  <c r="X59" i="1"/>
  <c r="W59" i="1" s="1"/>
  <c r="AB59" i="1" s="1"/>
  <c r="U59" i="1"/>
  <c r="S60" i="1"/>
  <c r="AH61" i="1"/>
  <c r="AG61" i="1"/>
  <c r="AI61" i="1"/>
  <c r="T64" i="1"/>
  <c r="S64" i="1"/>
  <c r="T68" i="1"/>
  <c r="S68" i="1"/>
  <c r="AH69" i="1"/>
  <c r="AI69" i="1"/>
  <c r="AG69" i="1"/>
  <c r="T77" i="1"/>
  <c r="S77" i="1"/>
  <c r="AB96" i="1"/>
  <c r="AC96" i="1"/>
  <c r="Y96" i="1"/>
  <c r="U33" i="1"/>
  <c r="I35" i="1"/>
  <c r="U35" i="1"/>
  <c r="S36" i="1"/>
  <c r="I39" i="1"/>
  <c r="I41" i="1"/>
  <c r="J41" i="1" s="1"/>
  <c r="U41" i="1"/>
  <c r="S42" i="1"/>
  <c r="I46" i="1"/>
  <c r="U46" i="1"/>
  <c r="S47" i="1"/>
  <c r="U48" i="1"/>
  <c r="AG48" i="1"/>
  <c r="AH49" i="1"/>
  <c r="AH52" i="1"/>
  <c r="U55" i="1"/>
  <c r="X55" i="1"/>
  <c r="W55" i="1" s="1"/>
  <c r="AA55" i="1" s="1"/>
  <c r="AS55" i="1"/>
  <c r="AI58" i="1"/>
  <c r="F60" i="1"/>
  <c r="I60" i="1"/>
  <c r="AH67" i="1"/>
  <c r="AI67" i="1"/>
  <c r="T79" i="1"/>
  <c r="S79" i="1"/>
  <c r="T94" i="1"/>
  <c r="S94" i="1"/>
  <c r="AQ33" i="1"/>
  <c r="AS33" i="1" s="1"/>
  <c r="U36" i="1"/>
  <c r="U42" i="1"/>
  <c r="U47" i="1"/>
  <c r="AH48" i="1"/>
  <c r="I50" i="1"/>
  <c r="N50" i="1" s="1"/>
  <c r="F50" i="1"/>
  <c r="I51" i="1"/>
  <c r="F51" i="1"/>
  <c r="AI51" i="1"/>
  <c r="AG51" i="1"/>
  <c r="I53" i="1"/>
  <c r="F53" i="1"/>
  <c r="AI53" i="1"/>
  <c r="AG53" i="1"/>
  <c r="S54" i="1"/>
  <c r="T54" i="1"/>
  <c r="AH62" i="1"/>
  <c r="AI62" i="1"/>
  <c r="AG62" i="1"/>
  <c r="AI50" i="1"/>
  <c r="AG50" i="1"/>
  <c r="AH51" i="1"/>
  <c r="T66" i="1"/>
  <c r="S66" i="1"/>
  <c r="T83" i="1"/>
  <c r="S83" i="1"/>
  <c r="S69" i="1"/>
  <c r="AG73" i="1"/>
  <c r="I97" i="1"/>
  <c r="U60" i="1"/>
  <c r="I65" i="1"/>
  <c r="AT68" i="1"/>
  <c r="U69" i="1"/>
  <c r="AC73" i="1"/>
  <c r="U74" i="1"/>
  <c r="I80" i="1"/>
  <c r="M80" i="1" s="1"/>
  <c r="F95" i="1"/>
  <c r="S61" i="1"/>
  <c r="AG66" i="1"/>
  <c r="AG70" i="1"/>
  <c r="U61" i="1"/>
  <c r="U63" i="1"/>
  <c r="I64" i="1"/>
  <c r="U67" i="1"/>
  <c r="AA70" i="1"/>
  <c r="U73" i="1"/>
  <c r="U76" i="1"/>
  <c r="I98" i="1"/>
  <c r="P98" i="1" s="1"/>
  <c r="AT94" i="1"/>
  <c r="AS94" i="1"/>
  <c r="AT96" i="1"/>
  <c r="AS96" i="1"/>
  <c r="T97" i="1"/>
  <c r="S97" i="1"/>
  <c r="AS97" i="1"/>
  <c r="AT97" i="1"/>
  <c r="S98" i="1"/>
  <c r="T98" i="1"/>
  <c r="AT98" i="1"/>
  <c r="AS98" i="1"/>
  <c r="AA94" i="1"/>
  <c r="AD94" i="1"/>
  <c r="Z94" i="1"/>
  <c r="AC94" i="1"/>
  <c r="Y94" i="1"/>
  <c r="AB94" i="1"/>
  <c r="AH95" i="1"/>
  <c r="AG95" i="1"/>
  <c r="AI95" i="1"/>
  <c r="N95" i="1"/>
  <c r="H95" i="1"/>
  <c r="M95" i="1"/>
  <c r="P95" i="1"/>
  <c r="J95" i="1"/>
  <c r="O95" i="1"/>
  <c r="T95" i="1"/>
  <c r="S95" i="1"/>
  <c r="AI97" i="1"/>
  <c r="AH97" i="1"/>
  <c r="AG97" i="1"/>
  <c r="Z96" i="1"/>
  <c r="AD96" i="1"/>
  <c r="AH96" i="1"/>
  <c r="X98" i="1"/>
  <c r="W98" i="1" s="1"/>
  <c r="AG94" i="1"/>
  <c r="X95" i="1"/>
  <c r="W95" i="1" s="1"/>
  <c r="AS95" i="1"/>
  <c r="I96" i="1"/>
  <c r="S96" i="1"/>
  <c r="AA96" i="1"/>
  <c r="AG98" i="1"/>
  <c r="AH94" i="1"/>
  <c r="AH98" i="1"/>
  <c r="AT79" i="1"/>
  <c r="AS79" i="1"/>
  <c r="AA79" i="1"/>
  <c r="AD79" i="1"/>
  <c r="Z79" i="1"/>
  <c r="AC79" i="1"/>
  <c r="Y79" i="1"/>
  <c r="AB79" i="1"/>
  <c r="AG79" i="1"/>
  <c r="AH79" i="1"/>
  <c r="AS78" i="1"/>
  <c r="AT78" i="1"/>
  <c r="S78" i="1"/>
  <c r="T78" i="1"/>
  <c r="T84" i="1"/>
  <c r="S84" i="1"/>
  <c r="AG84" i="1"/>
  <c r="AH84" i="1"/>
  <c r="AI84" i="1"/>
  <c r="J84" i="1"/>
  <c r="P84" i="1"/>
  <c r="M84" i="1"/>
  <c r="H84" i="1"/>
  <c r="N84" i="1"/>
  <c r="O84" i="1"/>
  <c r="AT83" i="1"/>
  <c r="AS83" i="1"/>
  <c r="AA83" i="1"/>
  <c r="AD83" i="1"/>
  <c r="Z83" i="1"/>
  <c r="AC83" i="1"/>
  <c r="Y83" i="1"/>
  <c r="AB83" i="1"/>
  <c r="AG83" i="1"/>
  <c r="AH83" i="1"/>
  <c r="AB81" i="1"/>
  <c r="AA81" i="1"/>
  <c r="AD81" i="1"/>
  <c r="Z81" i="1"/>
  <c r="T81" i="1"/>
  <c r="AC81" i="1"/>
  <c r="S80" i="1"/>
  <c r="T80" i="1"/>
  <c r="AT80" i="1"/>
  <c r="AS80" i="1"/>
  <c r="X80" i="1"/>
  <c r="W80" i="1" s="1"/>
  <c r="AG80" i="1"/>
  <c r="AH80" i="1"/>
  <c r="AB48" i="1"/>
  <c r="Y48" i="1"/>
  <c r="AA48" i="1"/>
  <c r="AD48" i="1"/>
  <c r="Z48" i="1"/>
  <c r="AC48" i="1"/>
  <c r="O56" i="1"/>
  <c r="N56" i="1"/>
  <c r="H56" i="1"/>
  <c r="AB63" i="1"/>
  <c r="AD63" i="1"/>
  <c r="Z63" i="1"/>
  <c r="AA63" i="1"/>
  <c r="Y63" i="1"/>
  <c r="X51" i="1"/>
  <c r="W51" i="1" s="1"/>
  <c r="X52" i="1"/>
  <c r="W52" i="1" s="1"/>
  <c r="X53" i="1"/>
  <c r="W53" i="1" s="1"/>
  <c r="O55" i="1"/>
  <c r="N55" i="1"/>
  <c r="H55" i="1"/>
  <c r="J56" i="1"/>
  <c r="AI56" i="1"/>
  <c r="AH56" i="1"/>
  <c r="AH59" i="1"/>
  <c r="AG59" i="1"/>
  <c r="AB60" i="1"/>
  <c r="AD60" i="1"/>
  <c r="Z60" i="1"/>
  <c r="AC60" i="1"/>
  <c r="AA60" i="1"/>
  <c r="AB61" i="1"/>
  <c r="AD61" i="1"/>
  <c r="Z61" i="1"/>
  <c r="AC61" i="1"/>
  <c r="AT61" i="1"/>
  <c r="F62" i="1"/>
  <c r="I62" i="1"/>
  <c r="AC63" i="1"/>
  <c r="AG65" i="1"/>
  <c r="AH65" i="1"/>
  <c r="AI65" i="1"/>
  <c r="I48" i="1"/>
  <c r="S48" i="1"/>
  <c r="I49" i="1"/>
  <c r="T49" i="1"/>
  <c r="T50" i="1"/>
  <c r="T51" i="1"/>
  <c r="T52" i="1"/>
  <c r="T53" i="1"/>
  <c r="J55" i="1"/>
  <c r="AI55" i="1"/>
  <c r="AH55" i="1"/>
  <c r="M56" i="1"/>
  <c r="T56" i="1"/>
  <c r="AG56" i="1"/>
  <c r="T58" i="1"/>
  <c r="S58" i="1"/>
  <c r="I59" i="1"/>
  <c r="Y60" i="1"/>
  <c r="AS60" i="1"/>
  <c r="AT60" i="1"/>
  <c r="Y61" i="1"/>
  <c r="AB62" i="1"/>
  <c r="AD62" i="1"/>
  <c r="Z62" i="1"/>
  <c r="Y62" i="1"/>
  <c r="AH63" i="1"/>
  <c r="AG63" i="1"/>
  <c r="X58" i="1"/>
  <c r="W58" i="1" s="1"/>
  <c r="U58" i="1"/>
  <c r="T63" i="1"/>
  <c r="S63" i="1"/>
  <c r="AT64" i="1"/>
  <c r="AS64" i="1"/>
  <c r="AD67" i="1"/>
  <c r="Z67" i="1"/>
  <c r="AB67" i="1"/>
  <c r="Y67" i="1"/>
  <c r="AC67" i="1"/>
  <c r="AA67" i="1"/>
  <c r="X49" i="1"/>
  <c r="W49" i="1" s="1"/>
  <c r="X50" i="1"/>
  <c r="W50" i="1" s="1"/>
  <c r="AI54" i="1"/>
  <c r="AH54" i="1"/>
  <c r="M55" i="1"/>
  <c r="T55" i="1"/>
  <c r="AG55" i="1"/>
  <c r="F56" i="1"/>
  <c r="P56" i="1"/>
  <c r="P58" i="1"/>
  <c r="O58" i="1"/>
  <c r="N58" i="1"/>
  <c r="H58" i="1"/>
  <c r="T59" i="1"/>
  <c r="S59" i="1"/>
  <c r="AI59" i="1"/>
  <c r="AH60" i="1"/>
  <c r="AI60" i="1"/>
  <c r="AG60" i="1"/>
  <c r="AA61" i="1"/>
  <c r="T62" i="1"/>
  <c r="S62" i="1"/>
  <c r="AA62" i="1"/>
  <c r="I63" i="1"/>
  <c r="AG64" i="1"/>
  <c r="AH64" i="1"/>
  <c r="AD69" i="1"/>
  <c r="Z69" i="1"/>
  <c r="AB69" i="1"/>
  <c r="AC69" i="1"/>
  <c r="AA69" i="1"/>
  <c r="Y69" i="1"/>
  <c r="AT59" i="1"/>
  <c r="I61" i="1"/>
  <c r="AT63" i="1"/>
  <c r="AT65" i="1"/>
  <c r="AS65" i="1"/>
  <c r="AG67" i="1"/>
  <c r="AT67" i="1"/>
  <c r="AI68" i="1"/>
  <c r="I69" i="1"/>
  <c r="S70" i="1"/>
  <c r="Y70" i="1"/>
  <c r="S73" i="1"/>
  <c r="T73" i="1"/>
  <c r="AT75" i="1"/>
  <c r="AS75" i="1"/>
  <c r="O76" i="1"/>
  <c r="N76" i="1"/>
  <c r="H76" i="1"/>
  <c r="M76" i="1"/>
  <c r="P76" i="1"/>
  <c r="J76" i="1"/>
  <c r="AA76" i="1"/>
  <c r="AD76" i="1"/>
  <c r="Z76" i="1"/>
  <c r="AC76" i="1"/>
  <c r="Y76" i="1"/>
  <c r="AB76" i="1"/>
  <c r="AT77" i="1"/>
  <c r="AS77" i="1"/>
  <c r="AD66" i="1"/>
  <c r="AB66" i="1"/>
  <c r="AA66" i="1"/>
  <c r="AD68" i="1"/>
  <c r="Z68" i="1"/>
  <c r="AB68" i="1"/>
  <c r="AT74" i="1"/>
  <c r="AS74" i="1"/>
  <c r="O75" i="1"/>
  <c r="N75" i="1"/>
  <c r="H75" i="1"/>
  <c r="M75" i="1"/>
  <c r="P75" i="1"/>
  <c r="J75" i="1"/>
  <c r="AA75" i="1"/>
  <c r="AD75" i="1"/>
  <c r="Z75" i="1"/>
  <c r="AC75" i="1"/>
  <c r="Y75" i="1"/>
  <c r="AB75" i="1"/>
  <c r="AA77" i="1"/>
  <c r="AD77" i="1"/>
  <c r="Z77" i="1"/>
  <c r="AC77" i="1"/>
  <c r="Y77" i="1"/>
  <c r="AB77" i="1"/>
  <c r="AC66" i="1"/>
  <c r="AI66" i="1"/>
  <c r="I67" i="1"/>
  <c r="Y68" i="1"/>
  <c r="AT69" i="1"/>
  <c r="AI70" i="1"/>
  <c r="I73" i="1"/>
  <c r="AT73" i="1"/>
  <c r="AS73" i="1"/>
  <c r="O74" i="1"/>
  <c r="N74" i="1"/>
  <c r="H74" i="1"/>
  <c r="M74" i="1"/>
  <c r="P74" i="1"/>
  <c r="J74" i="1"/>
  <c r="AA74" i="1"/>
  <c r="AD74" i="1"/>
  <c r="Z74" i="1"/>
  <c r="AC74" i="1"/>
  <c r="Y74" i="1"/>
  <c r="AB74" i="1"/>
  <c r="Y66" i="1"/>
  <c r="S67" i="1"/>
  <c r="AA68" i="1"/>
  <c r="AG68" i="1"/>
  <c r="AD70" i="1"/>
  <c r="Z70" i="1"/>
  <c r="AB70" i="1"/>
  <c r="AA73" i="1"/>
  <c r="AD73" i="1"/>
  <c r="Z73" i="1"/>
  <c r="AB73" i="1"/>
  <c r="AT76" i="1"/>
  <c r="AS76" i="1"/>
  <c r="F74" i="1"/>
  <c r="T74" i="1"/>
  <c r="F75" i="1"/>
  <c r="T75" i="1"/>
  <c r="F76" i="1"/>
  <c r="T76" i="1"/>
  <c r="AG74" i="1"/>
  <c r="AG75" i="1"/>
  <c r="AG76" i="1"/>
  <c r="AG77" i="1"/>
  <c r="AH73" i="1"/>
  <c r="AH74" i="1"/>
  <c r="AH75" i="1"/>
  <c r="AH76" i="1"/>
  <c r="AH77" i="1"/>
  <c r="AT47" i="1"/>
  <c r="AS47" i="1"/>
  <c r="AA47" i="1"/>
  <c r="AD47" i="1"/>
  <c r="Z47" i="1"/>
  <c r="AC47" i="1"/>
  <c r="Y47" i="1"/>
  <c r="AB47" i="1"/>
  <c r="AG47" i="1"/>
  <c r="AH47" i="1"/>
  <c r="AT46" i="1"/>
  <c r="AS46" i="1"/>
  <c r="AA46" i="1"/>
  <c r="AD46" i="1"/>
  <c r="Z46" i="1"/>
  <c r="AC46" i="1"/>
  <c r="Y46" i="1"/>
  <c r="AB46" i="1"/>
  <c r="AG46" i="1"/>
  <c r="AH46" i="1"/>
  <c r="AT45" i="1"/>
  <c r="AS45" i="1"/>
  <c r="AA45" i="1"/>
  <c r="AD45" i="1"/>
  <c r="Z45" i="1"/>
  <c r="AC45" i="1"/>
  <c r="Y45" i="1"/>
  <c r="AB45" i="1"/>
  <c r="AG45" i="1"/>
  <c r="AH45" i="1"/>
  <c r="AT43" i="1"/>
  <c r="AS43" i="1"/>
  <c r="AA43" i="1"/>
  <c r="AD43" i="1"/>
  <c r="Z43" i="1"/>
  <c r="AC43" i="1"/>
  <c r="Y43" i="1"/>
  <c r="AB43" i="1"/>
  <c r="AG43" i="1"/>
  <c r="AH43" i="1"/>
  <c r="AT42" i="1"/>
  <c r="AS42" i="1"/>
  <c r="AA42" i="1"/>
  <c r="AD42" i="1"/>
  <c r="Z42" i="1"/>
  <c r="AC42" i="1"/>
  <c r="Y42" i="1"/>
  <c r="AB42" i="1"/>
  <c r="AG42" i="1"/>
  <c r="AH42" i="1"/>
  <c r="AT41" i="1"/>
  <c r="AS41" i="1"/>
  <c r="AA41" i="1"/>
  <c r="AD41" i="1"/>
  <c r="Z41" i="1"/>
  <c r="AC41" i="1"/>
  <c r="Y41" i="1"/>
  <c r="AB41" i="1"/>
  <c r="AG41" i="1"/>
  <c r="AH41" i="1"/>
  <c r="S40" i="1"/>
  <c r="T40" i="1"/>
  <c r="AT40" i="1"/>
  <c r="AS40" i="1"/>
  <c r="X40" i="1"/>
  <c r="W40" i="1" s="1"/>
  <c r="AG40" i="1"/>
  <c r="AH40" i="1"/>
  <c r="S39" i="1"/>
  <c r="T39" i="1"/>
  <c r="AT39" i="1"/>
  <c r="AS39" i="1"/>
  <c r="X39" i="1"/>
  <c r="W39" i="1" s="1"/>
  <c r="AG39" i="1"/>
  <c r="AH39" i="1"/>
  <c r="AT38" i="1"/>
  <c r="AS38" i="1"/>
  <c r="AA38" i="1"/>
  <c r="AD38" i="1"/>
  <c r="Z38" i="1"/>
  <c r="AC38" i="1"/>
  <c r="Y38" i="1"/>
  <c r="AB38" i="1"/>
  <c r="AG38" i="1"/>
  <c r="AH38" i="1"/>
  <c r="AT37" i="1"/>
  <c r="AS37" i="1"/>
  <c r="AA37" i="1"/>
  <c r="AD37" i="1"/>
  <c r="Z37" i="1"/>
  <c r="AC37" i="1"/>
  <c r="Y37" i="1"/>
  <c r="AB37" i="1"/>
  <c r="AG37" i="1"/>
  <c r="AH37" i="1"/>
  <c r="AT36" i="1"/>
  <c r="AS36" i="1"/>
  <c r="AA36" i="1"/>
  <c r="AD36" i="1"/>
  <c r="Z36" i="1"/>
  <c r="AC36" i="1"/>
  <c r="Y36" i="1"/>
  <c r="AB36" i="1"/>
  <c r="AG36" i="1"/>
  <c r="AH36" i="1"/>
  <c r="AT35" i="1"/>
  <c r="AS35" i="1"/>
  <c r="AA35" i="1"/>
  <c r="AD35" i="1"/>
  <c r="Z35" i="1"/>
  <c r="AC35" i="1"/>
  <c r="Y35" i="1"/>
  <c r="AB35" i="1"/>
  <c r="AG35" i="1"/>
  <c r="AH35" i="1"/>
  <c r="AT34" i="1"/>
  <c r="AS34" i="1"/>
  <c r="AA34" i="1"/>
  <c r="AD34" i="1"/>
  <c r="Z34" i="1"/>
  <c r="AC34" i="1"/>
  <c r="Y34" i="1"/>
  <c r="AB34" i="1"/>
  <c r="AG34" i="1"/>
  <c r="AH34" i="1"/>
  <c r="S33" i="1"/>
  <c r="T33" i="1"/>
  <c r="AB11" i="1"/>
  <c r="AA11" i="1"/>
  <c r="AD11" i="1"/>
  <c r="Z11" i="1"/>
  <c r="AC11" i="1"/>
  <c r="Y24" i="1"/>
  <c r="Z24" i="1"/>
  <c r="AD24" i="1"/>
  <c r="AB24" i="1"/>
  <c r="AC24" i="1"/>
  <c r="AB14" i="1"/>
  <c r="AA14" i="1"/>
  <c r="AD14" i="1"/>
  <c r="Z14" i="1"/>
  <c r="AC14" i="1"/>
  <c r="Y14" i="1"/>
  <c r="X27" i="1"/>
  <c r="AD27" i="1"/>
  <c r="AA27" i="1"/>
  <c r="Y27" i="1"/>
  <c r="AC27" i="1"/>
  <c r="AB27" i="1"/>
  <c r="X23" i="1"/>
  <c r="AD23" i="1"/>
  <c r="Y23" i="1"/>
  <c r="AC23" i="1"/>
  <c r="Z23" i="1"/>
  <c r="AB23" i="1"/>
  <c r="X19" i="1"/>
  <c r="AD19" i="1"/>
  <c r="Z19" i="1"/>
  <c r="Y19" i="1"/>
  <c r="AC19" i="1"/>
  <c r="AB19" i="1"/>
  <c r="AA19" i="1"/>
  <c r="AD12" i="1"/>
  <c r="Z12" i="1"/>
  <c r="AC12" i="1"/>
  <c r="Y12" i="1"/>
  <c r="AB12" i="1"/>
  <c r="AA12" i="1"/>
  <c r="Y11" i="1"/>
  <c r="AB26" i="1"/>
  <c r="AA26" i="1"/>
  <c r="Y26" i="1"/>
  <c r="AD26" i="1"/>
  <c r="AC26" i="1"/>
  <c r="AB22" i="1"/>
  <c r="Y22" i="1"/>
  <c r="AD22" i="1"/>
  <c r="AC22" i="1"/>
  <c r="Z22" i="1"/>
  <c r="AA18" i="1"/>
  <c r="AD18" i="1"/>
  <c r="Y18" i="1"/>
  <c r="AC18" i="1"/>
  <c r="AB18" i="1"/>
  <c r="X25" i="1"/>
  <c r="AD25" i="1"/>
  <c r="AC25" i="1"/>
  <c r="AB25" i="1"/>
  <c r="AA25" i="1"/>
  <c r="Y25" i="1"/>
  <c r="AA17" i="1"/>
  <c r="AD17" i="1"/>
  <c r="Z17" i="1"/>
  <c r="AC17" i="1"/>
  <c r="Y17" i="1"/>
  <c r="AB17" i="1"/>
  <c r="AF19" i="1"/>
  <c r="X11" i="1"/>
  <c r="AQ17" i="1" l="1"/>
  <c r="AT17" i="1" s="1"/>
  <c r="AS16" i="1"/>
  <c r="AT16" i="1"/>
  <c r="T16" i="1"/>
  <c r="R16" i="1"/>
  <c r="S16" i="1"/>
  <c r="AC64" i="1"/>
  <c r="AA65" i="1"/>
  <c r="H47" i="1"/>
  <c r="H37" i="1"/>
  <c r="AD84" i="1"/>
  <c r="N45" i="1"/>
  <c r="H41" i="1"/>
  <c r="AB84" i="1"/>
  <c r="O80" i="1"/>
  <c r="K80" i="1"/>
  <c r="L80" i="1"/>
  <c r="O34" i="1"/>
  <c r="K34" i="1"/>
  <c r="L34" i="1"/>
  <c r="M70" i="1"/>
  <c r="K70" i="1"/>
  <c r="L70" i="1"/>
  <c r="N34" i="1"/>
  <c r="Z65" i="1"/>
  <c r="K62" i="1"/>
  <c r="L62" i="1"/>
  <c r="O64" i="1"/>
  <c r="K64" i="1"/>
  <c r="L64" i="1"/>
  <c r="J65" i="1"/>
  <c r="K65" i="1"/>
  <c r="L65" i="1"/>
  <c r="H53" i="1"/>
  <c r="K53" i="1"/>
  <c r="L53" i="1"/>
  <c r="N51" i="1"/>
  <c r="K51" i="1"/>
  <c r="L51" i="1"/>
  <c r="O54" i="1"/>
  <c r="K54" i="1"/>
  <c r="L54" i="1"/>
  <c r="O42" i="1"/>
  <c r="K42" i="1"/>
  <c r="L42" i="1"/>
  <c r="H78" i="1"/>
  <c r="K78" i="1"/>
  <c r="L78" i="1"/>
  <c r="O94" i="1"/>
  <c r="K94" i="1"/>
  <c r="L94" i="1"/>
  <c r="M66" i="1"/>
  <c r="K66" i="1"/>
  <c r="L66" i="1"/>
  <c r="O40" i="1"/>
  <c r="K40" i="1"/>
  <c r="L40" i="1"/>
  <c r="O43" i="1"/>
  <c r="L43" i="1"/>
  <c r="K43" i="1"/>
  <c r="L63" i="1"/>
  <c r="K63" i="1"/>
  <c r="O98" i="1"/>
  <c r="K98" i="1"/>
  <c r="L98" i="1"/>
  <c r="O77" i="1"/>
  <c r="K77" i="1"/>
  <c r="L77" i="1"/>
  <c r="M77" i="1"/>
  <c r="P77" i="1"/>
  <c r="H70" i="1"/>
  <c r="K73" i="1"/>
  <c r="L73" i="1"/>
  <c r="L67" i="1"/>
  <c r="K67" i="1"/>
  <c r="Z64" i="1"/>
  <c r="K61" i="1"/>
  <c r="L61" i="1"/>
  <c r="Y65" i="1"/>
  <c r="L59" i="1"/>
  <c r="K59" i="1"/>
  <c r="K49" i="1"/>
  <c r="L49" i="1"/>
  <c r="O41" i="1"/>
  <c r="K41" i="1"/>
  <c r="L41" i="1"/>
  <c r="O35" i="1"/>
  <c r="L35" i="1"/>
  <c r="K35" i="1"/>
  <c r="H52" i="1"/>
  <c r="L52" i="1"/>
  <c r="K52" i="1"/>
  <c r="O45" i="1"/>
  <c r="K45" i="1"/>
  <c r="L45" i="1"/>
  <c r="J68" i="1"/>
  <c r="K68" i="1"/>
  <c r="L68" i="1"/>
  <c r="O79" i="1"/>
  <c r="L79" i="1"/>
  <c r="K79" i="1"/>
  <c r="O37" i="1"/>
  <c r="K37" i="1"/>
  <c r="L37" i="1"/>
  <c r="L69" i="1"/>
  <c r="K69" i="1"/>
  <c r="L48" i="1"/>
  <c r="K48" i="1"/>
  <c r="O47" i="1"/>
  <c r="K47" i="1"/>
  <c r="L47" i="1"/>
  <c r="P34" i="1"/>
  <c r="N47" i="1"/>
  <c r="J47" i="1"/>
  <c r="N70" i="1"/>
  <c r="AD64" i="1"/>
  <c r="AC65" i="1"/>
  <c r="K96" i="1"/>
  <c r="L96" i="1"/>
  <c r="M97" i="1"/>
  <c r="L97" i="1"/>
  <c r="K97" i="1"/>
  <c r="H50" i="1"/>
  <c r="K50" i="1"/>
  <c r="L50" i="1"/>
  <c r="P60" i="1"/>
  <c r="K60" i="1"/>
  <c r="L60" i="1"/>
  <c r="O46" i="1"/>
  <c r="K46" i="1"/>
  <c r="L46" i="1"/>
  <c r="O39" i="1"/>
  <c r="L39" i="1"/>
  <c r="K39" i="1"/>
  <c r="O38" i="1"/>
  <c r="K38" i="1"/>
  <c r="L38" i="1"/>
  <c r="O36" i="1"/>
  <c r="K36" i="1"/>
  <c r="L36" i="1"/>
  <c r="O83" i="1"/>
  <c r="K83" i="1"/>
  <c r="L83" i="1"/>
  <c r="H60" i="1"/>
  <c r="AB64" i="1"/>
  <c r="AD65" i="1"/>
  <c r="P64" i="1"/>
  <c r="M34" i="1"/>
  <c r="M47" i="1"/>
  <c r="Y64" i="1"/>
  <c r="O70" i="1"/>
  <c r="Z55" i="1"/>
  <c r="Y55" i="1"/>
  <c r="N43" i="1"/>
  <c r="N94" i="1"/>
  <c r="P66" i="1"/>
  <c r="J54" i="1"/>
  <c r="H54" i="1"/>
  <c r="AA59" i="1"/>
  <c r="M40" i="1"/>
  <c r="M42" i="1"/>
  <c r="P43" i="1"/>
  <c r="N40" i="1"/>
  <c r="N42" i="1"/>
  <c r="H43" i="1"/>
  <c r="J66" i="1"/>
  <c r="O66" i="1"/>
  <c r="M60" i="1"/>
  <c r="Z54" i="1"/>
  <c r="P50" i="1"/>
  <c r="N60" i="1"/>
  <c r="AD55" i="1"/>
  <c r="N54" i="1"/>
  <c r="Z59" i="1"/>
  <c r="N80" i="1"/>
  <c r="N98" i="1"/>
  <c r="H94" i="1"/>
  <c r="J98" i="1"/>
  <c r="P42" i="1"/>
  <c r="J43" i="1"/>
  <c r="H40" i="1"/>
  <c r="P40" i="1"/>
  <c r="H42" i="1"/>
  <c r="J42" i="1"/>
  <c r="N66" i="1"/>
  <c r="AD54" i="1"/>
  <c r="J60" i="1"/>
  <c r="AC59" i="1"/>
  <c r="AD59" i="1"/>
  <c r="H80" i="1"/>
  <c r="P80" i="1"/>
  <c r="H98" i="1"/>
  <c r="M94" i="1"/>
  <c r="P94" i="1"/>
  <c r="AC54" i="1"/>
  <c r="J40" i="1"/>
  <c r="M43" i="1"/>
  <c r="H66" i="1"/>
  <c r="AA54" i="1"/>
  <c r="O60" i="1"/>
  <c r="Y59" i="1"/>
  <c r="J80" i="1"/>
  <c r="M98" i="1"/>
  <c r="J94" i="1"/>
  <c r="Y54" i="1"/>
  <c r="M35" i="1"/>
  <c r="H45" i="1"/>
  <c r="J45" i="1"/>
  <c r="O68" i="1"/>
  <c r="H68" i="1"/>
  <c r="H64" i="1"/>
  <c r="M64" i="1"/>
  <c r="Z84" i="1"/>
  <c r="N79" i="1"/>
  <c r="P79" i="1"/>
  <c r="N35" i="1"/>
  <c r="P35" i="1"/>
  <c r="M37" i="1"/>
  <c r="M41" i="1"/>
  <c r="M68" i="1"/>
  <c r="N68" i="1"/>
  <c r="N64" i="1"/>
  <c r="P52" i="1"/>
  <c r="AC84" i="1"/>
  <c r="H79" i="1"/>
  <c r="J79" i="1"/>
  <c r="AT33" i="1"/>
  <c r="H35" i="1"/>
  <c r="J35" i="1"/>
  <c r="N37" i="1"/>
  <c r="P37" i="1"/>
  <c r="N41" i="1"/>
  <c r="P41" i="1"/>
  <c r="M45" i="1"/>
  <c r="J64" i="1"/>
  <c r="AA84" i="1"/>
  <c r="P51" i="1"/>
  <c r="J83" i="1"/>
  <c r="H83" i="1"/>
  <c r="H36" i="1"/>
  <c r="M38" i="1"/>
  <c r="P46" i="1"/>
  <c r="P53" i="1"/>
  <c r="M83" i="1"/>
  <c r="AD97" i="1"/>
  <c r="J36" i="1"/>
  <c r="N39" i="1"/>
  <c r="N46" i="1"/>
  <c r="P65" i="1"/>
  <c r="N83" i="1"/>
  <c r="P83" i="1"/>
  <c r="N38" i="1"/>
  <c r="P39" i="1"/>
  <c r="H46" i="1"/>
  <c r="J46" i="1"/>
  <c r="M65" i="1"/>
  <c r="H51" i="1"/>
  <c r="H34" i="1"/>
  <c r="J34" i="1"/>
  <c r="M36" i="1"/>
  <c r="H38" i="1"/>
  <c r="J38" i="1"/>
  <c r="J39" i="1"/>
  <c r="N77" i="1"/>
  <c r="J77" i="1"/>
  <c r="J70" i="1"/>
  <c r="O65" i="1"/>
  <c r="N65" i="1"/>
  <c r="N53" i="1"/>
  <c r="AD56" i="1"/>
  <c r="AC97" i="1"/>
  <c r="AB97" i="1"/>
  <c r="P38" i="1"/>
  <c r="H39" i="1"/>
  <c r="H65" i="1"/>
  <c r="Y56" i="1"/>
  <c r="Z56" i="1"/>
  <c r="Y97" i="1"/>
  <c r="AA97" i="1"/>
  <c r="N36" i="1"/>
  <c r="P36" i="1"/>
  <c r="M39" i="1"/>
  <c r="M46" i="1"/>
  <c r="H77" i="1"/>
  <c r="P70" i="1"/>
  <c r="AB56" i="1"/>
  <c r="AA56" i="1"/>
  <c r="O97" i="1"/>
  <c r="P97" i="1"/>
  <c r="H97" i="1"/>
  <c r="N97" i="1"/>
  <c r="J97" i="1"/>
  <c r="O50" i="1"/>
  <c r="J50" i="1"/>
  <c r="M50" i="1"/>
  <c r="AC55" i="1"/>
  <c r="AB55" i="1"/>
  <c r="M54" i="1"/>
  <c r="P54" i="1"/>
  <c r="O52" i="1"/>
  <c r="J52" i="1"/>
  <c r="M52" i="1"/>
  <c r="O53" i="1"/>
  <c r="J53" i="1"/>
  <c r="M53" i="1"/>
  <c r="O51" i="1"/>
  <c r="J51" i="1"/>
  <c r="M51" i="1"/>
  <c r="M96" i="1"/>
  <c r="P96" i="1"/>
  <c r="J96" i="1"/>
  <c r="O96" i="1"/>
  <c r="N96" i="1"/>
  <c r="H96" i="1"/>
  <c r="AA98" i="1"/>
  <c r="AD98" i="1"/>
  <c r="Z98" i="1"/>
  <c r="AC98" i="1"/>
  <c r="Y98" i="1"/>
  <c r="AB98" i="1"/>
  <c r="AD95" i="1"/>
  <c r="Z95" i="1"/>
  <c r="AC95" i="1"/>
  <c r="Y95" i="1"/>
  <c r="AB95" i="1"/>
  <c r="AA95" i="1"/>
  <c r="AA80" i="1"/>
  <c r="AD80" i="1"/>
  <c r="Z80" i="1"/>
  <c r="AC80" i="1"/>
  <c r="Y80" i="1"/>
  <c r="AB80" i="1"/>
  <c r="P63" i="1"/>
  <c r="J63" i="1"/>
  <c r="N63" i="1"/>
  <c r="H63" i="1"/>
  <c r="O63" i="1"/>
  <c r="M63" i="1"/>
  <c r="AA50" i="1"/>
  <c r="Z50" i="1"/>
  <c r="AB50" i="1"/>
  <c r="AD50" i="1"/>
  <c r="Y50" i="1"/>
  <c r="AC50" i="1"/>
  <c r="P48" i="1"/>
  <c r="J48" i="1"/>
  <c r="N48" i="1"/>
  <c r="O48" i="1"/>
  <c r="H48" i="1"/>
  <c r="M48" i="1"/>
  <c r="AA53" i="1"/>
  <c r="Z53" i="1"/>
  <c r="AB53" i="1"/>
  <c r="AD53" i="1"/>
  <c r="Y53" i="1"/>
  <c r="AC53" i="1"/>
  <c r="O73" i="1"/>
  <c r="N73" i="1"/>
  <c r="H73" i="1"/>
  <c r="P73" i="1"/>
  <c r="J73" i="1"/>
  <c r="M73" i="1"/>
  <c r="P61" i="1"/>
  <c r="J61" i="1"/>
  <c r="N61" i="1"/>
  <c r="H61" i="1"/>
  <c r="M61" i="1"/>
  <c r="O61" i="1"/>
  <c r="AA49" i="1"/>
  <c r="Z49" i="1"/>
  <c r="AD49" i="1"/>
  <c r="Y49" i="1"/>
  <c r="AC49" i="1"/>
  <c r="AB49" i="1"/>
  <c r="AB58" i="1"/>
  <c r="AD58" i="1"/>
  <c r="Z58" i="1"/>
  <c r="Y58" i="1"/>
  <c r="AC58" i="1"/>
  <c r="AA58" i="1"/>
  <c r="P59" i="1"/>
  <c r="J59" i="1"/>
  <c r="N59" i="1"/>
  <c r="H59" i="1"/>
  <c r="O59" i="1"/>
  <c r="M59" i="1"/>
  <c r="P62" i="1"/>
  <c r="J62" i="1"/>
  <c r="N62" i="1"/>
  <c r="H62" i="1"/>
  <c r="M62" i="1"/>
  <c r="O62" i="1"/>
  <c r="AA52" i="1"/>
  <c r="Z52" i="1"/>
  <c r="AD52" i="1"/>
  <c r="Y52" i="1"/>
  <c r="AC52" i="1"/>
  <c r="AB52" i="1"/>
  <c r="N67" i="1"/>
  <c r="H67" i="1"/>
  <c r="P67" i="1"/>
  <c r="J67" i="1"/>
  <c r="M67" i="1"/>
  <c r="O67" i="1"/>
  <c r="N69" i="1"/>
  <c r="H69" i="1"/>
  <c r="P69" i="1"/>
  <c r="J69" i="1"/>
  <c r="O69" i="1"/>
  <c r="M69" i="1"/>
  <c r="P49" i="1"/>
  <c r="J49" i="1"/>
  <c r="N49" i="1"/>
  <c r="M49" i="1"/>
  <c r="O49" i="1"/>
  <c r="H49" i="1"/>
  <c r="AA51" i="1"/>
  <c r="Z51" i="1"/>
  <c r="AD51" i="1"/>
  <c r="Y51" i="1"/>
  <c r="AC51" i="1"/>
  <c r="AB51" i="1"/>
  <c r="AA40" i="1"/>
  <c r="AD40" i="1"/>
  <c r="Z40" i="1"/>
  <c r="AC40" i="1"/>
  <c r="Y40" i="1"/>
  <c r="AB40" i="1"/>
  <c r="AA39" i="1"/>
  <c r="AD39" i="1"/>
  <c r="Z39" i="1"/>
  <c r="AC39" i="1"/>
  <c r="Y39" i="1"/>
  <c r="AB39" i="1"/>
  <c r="AS19" i="1"/>
  <c r="AT19" i="1"/>
  <c r="AT18" i="1"/>
  <c r="AS18" i="1"/>
  <c r="AS17" i="1" l="1"/>
  <c r="D96" i="1"/>
  <c r="D95" i="1"/>
  <c r="D97" i="1"/>
  <c r="D98" i="1"/>
  <c r="D94" i="1"/>
  <c r="AG82" i="1" l="1"/>
  <c r="AH82" i="1"/>
  <c r="AI82" i="1"/>
  <c r="AG85" i="1"/>
  <c r="AH85" i="1"/>
  <c r="AI85" i="1"/>
  <c r="AG86" i="1"/>
  <c r="AH86" i="1"/>
  <c r="AI86" i="1"/>
  <c r="J78" i="1"/>
  <c r="M78" i="1"/>
  <c r="N78" i="1"/>
  <c r="O78" i="1"/>
  <c r="P78" i="1"/>
  <c r="J82" i="1"/>
  <c r="M82" i="1"/>
  <c r="N82" i="1"/>
  <c r="O82" i="1"/>
  <c r="P82" i="1"/>
  <c r="J85" i="1"/>
  <c r="M85" i="1"/>
  <c r="N85" i="1"/>
  <c r="O85" i="1"/>
  <c r="P85" i="1"/>
  <c r="J86" i="1"/>
  <c r="M86" i="1"/>
  <c r="N86" i="1"/>
  <c r="O86" i="1"/>
  <c r="P86" i="1"/>
  <c r="P33" i="1"/>
  <c r="O33" i="1"/>
  <c r="N33" i="1"/>
  <c r="M33" i="1"/>
  <c r="J33" i="1"/>
  <c r="M20" i="1"/>
  <c r="N20" i="1"/>
  <c r="O20" i="1"/>
  <c r="P20" i="1"/>
  <c r="M21" i="1"/>
  <c r="N21" i="1"/>
  <c r="O21" i="1"/>
  <c r="P21" i="1"/>
  <c r="O27" i="1" l="1"/>
  <c r="M27" i="1"/>
  <c r="N27" i="1"/>
  <c r="P27" i="1"/>
  <c r="O23" i="1"/>
  <c r="M23" i="1"/>
  <c r="N23" i="1"/>
  <c r="P23" i="1"/>
  <c r="O17" i="1"/>
  <c r="M17" i="1"/>
  <c r="P17" i="1"/>
  <c r="N17" i="1"/>
  <c r="N26" i="1"/>
  <c r="O26" i="1"/>
  <c r="P26" i="1"/>
  <c r="M26" i="1"/>
  <c r="O22" i="1"/>
  <c r="N22" i="1"/>
  <c r="P22" i="1"/>
  <c r="M22" i="1"/>
  <c r="O14" i="1"/>
  <c r="N14" i="1"/>
  <c r="P14" i="1"/>
  <c r="M14" i="1"/>
  <c r="O11" i="1"/>
  <c r="P11" i="1"/>
  <c r="M11" i="1"/>
  <c r="N11" i="1"/>
  <c r="O25" i="1"/>
  <c r="M25" i="1"/>
  <c r="P25" i="1"/>
  <c r="N25" i="1"/>
  <c r="O19" i="1"/>
  <c r="M19" i="1"/>
  <c r="N19" i="1"/>
  <c r="P19" i="1"/>
  <c r="N12" i="1"/>
  <c r="O12" i="1"/>
  <c r="P12" i="1"/>
  <c r="M12" i="1"/>
  <c r="O29" i="1"/>
  <c r="P29" i="1"/>
  <c r="M29" i="1"/>
  <c r="N29" i="1"/>
  <c r="O24" i="1"/>
  <c r="N24" i="1"/>
  <c r="P24" i="1"/>
  <c r="M24" i="1"/>
  <c r="N18" i="1"/>
  <c r="O18" i="1"/>
  <c r="P18" i="1"/>
  <c r="M18" i="1"/>
  <c r="AH78" i="1" l="1"/>
  <c r="AH33" i="1"/>
  <c r="AH12" i="1"/>
  <c r="AH14" i="1"/>
  <c r="AH17" i="1"/>
  <c r="AH18" i="1"/>
  <c r="AH19" i="1"/>
  <c r="AH20" i="1"/>
  <c r="AH21" i="1"/>
  <c r="AH22" i="1"/>
  <c r="AH23" i="1"/>
  <c r="AH24" i="1"/>
  <c r="AH25" i="1"/>
  <c r="AH26" i="1"/>
  <c r="AH27" i="1"/>
  <c r="AH29" i="1"/>
  <c r="AH11" i="1"/>
  <c r="AI26" i="1" l="1"/>
  <c r="AG26" i="1"/>
  <c r="AG17" i="1"/>
  <c r="AI17" i="1"/>
  <c r="AG24" i="1"/>
  <c r="AI24" i="1"/>
  <c r="AG29" i="1"/>
  <c r="AI29" i="1"/>
  <c r="AG19" i="1"/>
  <c r="AI19" i="1"/>
  <c r="AG23" i="1"/>
  <c r="AI23" i="1"/>
  <c r="AG20" i="1"/>
  <c r="AI20" i="1"/>
  <c r="AG27" i="1"/>
  <c r="AI27" i="1"/>
  <c r="AG18" i="1"/>
  <c r="AI18" i="1"/>
  <c r="AI22" i="1"/>
  <c r="AG22" i="1"/>
  <c r="AG25" i="1"/>
  <c r="AI25" i="1"/>
  <c r="AG21" i="1"/>
  <c r="AI21" i="1"/>
  <c r="AI78" i="1"/>
  <c r="AG78" i="1"/>
  <c r="AI33" i="1"/>
  <c r="AG33" i="1"/>
  <c r="AG12" i="1"/>
  <c r="AI12" i="1"/>
  <c r="AG14" i="1"/>
  <c r="AI14" i="1"/>
  <c r="AI11" i="1"/>
  <c r="AG11" i="1"/>
  <c r="D86" i="1"/>
  <c r="D85" i="1"/>
  <c r="D84" i="1"/>
  <c r="D82" i="1"/>
  <c r="D83" i="1"/>
  <c r="D81" i="1"/>
  <c r="D80" i="1"/>
  <c r="D39" i="1"/>
  <c r="D41" i="1"/>
  <c r="D46" i="1"/>
  <c r="D43" i="1"/>
  <c r="D79" i="1"/>
  <c r="D74" i="1"/>
  <c r="D75" i="1"/>
  <c r="D76" i="1"/>
  <c r="D77" i="1"/>
  <c r="D78" i="1"/>
  <c r="D73" i="1"/>
  <c r="D45" i="1"/>
  <c r="D36" i="1"/>
  <c r="D12" i="1"/>
  <c r="D14" i="1"/>
  <c r="D25" i="1"/>
  <c r="D26" i="1"/>
  <c r="D27" i="1"/>
  <c r="D17" i="1"/>
  <c r="D18" i="1"/>
  <c r="D19" i="1"/>
  <c r="D22" i="1"/>
  <c r="D23" i="1"/>
  <c r="D24" i="1"/>
  <c r="D29" i="1"/>
  <c r="D33" i="1"/>
  <c r="D34" i="1"/>
  <c r="D35" i="1"/>
  <c r="D37" i="1"/>
  <c r="D38" i="1"/>
  <c r="D40" i="1"/>
  <c r="D42" i="1"/>
  <c r="D47" i="1"/>
  <c r="D48" i="1"/>
  <c r="D49" i="1"/>
  <c r="D50" i="1"/>
  <c r="D51" i="1"/>
  <c r="D52" i="1"/>
  <c r="D53" i="1"/>
  <c r="D54" i="1"/>
  <c r="D55" i="1"/>
  <c r="D56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11" i="1"/>
  <c r="AD33" i="1" l="1"/>
  <c r="Z33" i="1"/>
  <c r="AC33" i="1"/>
  <c r="Y33" i="1"/>
  <c r="AB33" i="1"/>
  <c r="AA33" i="1"/>
  <c r="AA78" i="1"/>
  <c r="AB78" i="1"/>
  <c r="Y78" i="1"/>
  <c r="AC78" i="1"/>
  <c r="Z78" i="1"/>
  <c r="AD78" i="1"/>
  <c r="AP29" i="1" l="1"/>
  <c r="BA29" i="1"/>
  <c r="BA18" i="1" l="1"/>
  <c r="F28" i="1" l="1"/>
  <c r="G28" i="1" s="1"/>
  <c r="I28" i="1"/>
  <c r="K28" i="1" s="1"/>
  <c r="N28" i="1" l="1"/>
  <c r="L28" i="1"/>
  <c r="O28" i="1"/>
  <c r="M28" i="1"/>
  <c r="J28" i="1"/>
  <c r="P28" i="1"/>
  <c r="Q17" i="1" l="1"/>
  <c r="S17" i="1" s="1"/>
  <c r="T17" i="1" l="1"/>
  <c r="Q18" i="1"/>
  <c r="T18" i="1" s="1"/>
  <c r="S18" i="1" l="1"/>
  <c r="Q19" i="1"/>
  <c r="S19" i="1" s="1"/>
  <c r="T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B93D653E-2BB6-464A-8146-1C4E271F701B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
2022 - + 5.8% (Same as funders)
</t>
        </r>
      </text>
    </comment>
  </commentList>
</comments>
</file>

<file path=xl/sharedStrings.xml><?xml version="1.0" encoding="utf-8"?>
<sst xmlns="http://schemas.openxmlformats.org/spreadsheetml/2006/main" count="390" uniqueCount="276">
  <si>
    <t>Code</t>
  </si>
  <si>
    <t>Terminology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</si>
  <si>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</si>
  <si>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</si>
  <si>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</si>
  <si>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</si>
  <si>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</si>
  <si>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</si>
  <si>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</si>
  <si>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</si>
  <si>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</si>
  <si>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</si>
  <si>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</si>
  <si>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</si>
  <si>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</si>
  <si>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</si>
  <si>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</si>
  <si>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</si>
  <si>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</si>
  <si>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</si>
  <si>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</si>
  <si>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</si>
  <si>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</si>
  <si>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</si>
  <si>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</si>
  <si>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</si>
  <si>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</si>
  <si>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3003</t>
  </si>
  <si>
    <t>Fundus contact lens or 90 D lens examination</t>
  </si>
  <si>
    <t>3004</t>
  </si>
  <si>
    <t>Peripheral fundus examination with indirect Ophthalmoscope</t>
  </si>
  <si>
    <t>3006</t>
  </si>
  <si>
    <t>Keratometry</t>
  </si>
  <si>
    <t>Basic capital equipment used in own rooms by ophthalmologists.</t>
  </si>
  <si>
    <t>3013</t>
  </si>
  <si>
    <t>Ocular motility assessment: Comprehensive examination</t>
  </si>
  <si>
    <t>3014</t>
  </si>
  <si>
    <t>Tonometry per test with maximum of 2 tests for provocative tonometry</t>
  </si>
  <si>
    <t>Retinal threshold test inclusive of computer disc storage for Delta of Statpak programs</t>
  </si>
  <si>
    <t>3018</t>
  </si>
  <si>
    <t>Retinal threshold trend evaluation</t>
  </si>
  <si>
    <t>Special eye investigations:Pachymetry:Only when own instrument is used, per eye.  Only in addition to corneal surgery.</t>
  </si>
  <si>
    <t>3021</t>
  </si>
  <si>
    <t>Special eye investigations:Retinal funtion assessment including refraction after ocular surgery.Within four months,max 2 exams.</t>
  </si>
  <si>
    <t>Digital fluorescein video angiography</t>
  </si>
  <si>
    <t>Fundus photography</t>
  </si>
  <si>
    <t>Optical Coherent Tomography (OCT) of Optic nerve or macula:Per eye</t>
  </si>
  <si>
    <t>3036</t>
  </si>
  <si>
    <t>Corneal topography:For pathological corneas only on special motivation. For refractive surgery.</t>
  </si>
  <si>
    <t>3037</t>
  </si>
  <si>
    <t>Surgical treatment of retinal detachment including vitreous replacement but excluding vitrectomy</t>
  </si>
  <si>
    <t>3039</t>
  </si>
  <si>
    <t>Prophylaxis and treatment of retina and choroid by cryotherapy and/or diathermy and/or photocoagulation and/or laser per eye.</t>
  </si>
  <si>
    <t>3041</t>
  </si>
  <si>
    <t>Pan retinal photocoagulation (per eye): Done in one sitting</t>
  </si>
  <si>
    <t>3047</t>
  </si>
  <si>
    <t>Cataract: Extra-capsular (including capsulotomy</t>
  </si>
  <si>
    <t>3049</t>
  </si>
  <si>
    <t>Insertion of lenticulus in addition to item 3045 or item 3047 cost on lens excluded</t>
  </si>
  <si>
    <t>3052</t>
  </si>
  <si>
    <t>Laser capsulotomy</t>
  </si>
  <si>
    <t>3059</t>
  </si>
  <si>
    <t>Insertion of lenticulus when item 3045 or item 3047 was not executed</t>
  </si>
  <si>
    <t>3061</t>
  </si>
  <si>
    <t>Drainage operation</t>
  </si>
  <si>
    <t>3075</t>
  </si>
  <si>
    <t>Strabismus (whether operation performed on 1 eye or both. Operation on 1 or 2 muscles</t>
  </si>
  <si>
    <t>3097</t>
  </si>
  <si>
    <t>Anterior vitrectomy</t>
  </si>
  <si>
    <t>3098</t>
  </si>
  <si>
    <t>Removal of silicon from globe</t>
  </si>
  <si>
    <t>3099</t>
  </si>
  <si>
    <t>Posterior vitrectomy including anterior vitrectomy,encircling of globe and vitreous replacement</t>
  </si>
  <si>
    <t>3120</t>
  </si>
  <si>
    <t>Excimer laser (per eye) for refractive keratectomy or Holmium laser thermo keratoplasty (LTK) (For machine hire fee for LTK - Use item 3201</t>
  </si>
  <si>
    <t>3121</t>
  </si>
  <si>
    <t>Corneal graft (lamellar or full thickness)</t>
  </si>
  <si>
    <t>3125</t>
  </si>
  <si>
    <t>Keratectomy</t>
  </si>
  <si>
    <t>3130</t>
  </si>
  <si>
    <t>Pterygium or conjunctival cyst or conjunctival tumour.No conjunctival flap or graft used</t>
  </si>
  <si>
    <t>3131</t>
  </si>
  <si>
    <t>Cornea: Paracentesis</t>
  </si>
  <si>
    <t>3132</t>
  </si>
  <si>
    <t>Lamellar keratectomy for refractive surgery (LK,ALK,MLK)</t>
  </si>
  <si>
    <t>3134</t>
  </si>
  <si>
    <t>Pterygium or conjunctival cyst or conjunctival tumour.Conjunctival flap or graft used - stand alone procedure</t>
  </si>
  <si>
    <t>3163</t>
  </si>
  <si>
    <t>Excision of superficial lid tumour</t>
  </si>
  <si>
    <t>3171</t>
  </si>
  <si>
    <t>Excision of Meibomian cyst.Additional fee for sterile tray</t>
  </si>
  <si>
    <t>3181</t>
  </si>
  <si>
    <t>Entropion or ectropion by Open operation</t>
  </si>
  <si>
    <t>Diamond Knife: Use of own diamond knife during intraocular surgery</t>
  </si>
  <si>
    <t>Excimer laser: Hire fee (per eye)</t>
  </si>
  <si>
    <t>Phako emulsification apparatus: Hire fee</t>
  </si>
  <si>
    <t xml:space="preserve">Vitrectomy apparatus: Hire fee </t>
  </si>
  <si>
    <t>Axial length measurement and calculation of intra ocular lens power.Per eye. Not to be used with item 3034</t>
  </si>
  <si>
    <t>Ophthalmic examination</t>
  </si>
  <si>
    <t>Consultation</t>
  </si>
  <si>
    <t>Hospital Consultation</t>
  </si>
  <si>
    <t>Units</t>
  </si>
  <si>
    <t>R</t>
  </si>
  <si>
    <t>Disclaimer:</t>
  </si>
  <si>
    <t>See the Notes below for All Tariffs</t>
  </si>
  <si>
    <t>Corneal transplant: Endothelial</t>
  </si>
  <si>
    <t>Preparation of corneal endothelial allograft prior to transplantation (backbench)</t>
  </si>
  <si>
    <t>Lamellar corneal surgery keratome and equipment</t>
  </si>
  <si>
    <t>Corneal cross linking</t>
  </si>
  <si>
    <t>Cross linking equipment hire</t>
  </si>
  <si>
    <t>Endothelial specular microscope for donor corneas</t>
  </si>
  <si>
    <t>Endothelial specular microscope for clinical use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</si>
  <si>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</si>
  <si>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</si>
  <si>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3009</t>
  </si>
  <si>
    <t>3017</t>
  </si>
  <si>
    <t>3020</t>
  </si>
  <si>
    <t>3022</t>
  </si>
  <si>
    <t>3027</t>
  </si>
  <si>
    <t>3028</t>
  </si>
  <si>
    <t>3196</t>
  </si>
  <si>
    <t>3198</t>
  </si>
  <si>
    <t>3201</t>
  </si>
  <si>
    <t>3202</t>
  </si>
  <si>
    <t>3203</t>
  </si>
  <si>
    <t>3631</t>
  </si>
  <si>
    <t>3632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</si>
  <si>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</si>
  <si>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</si>
  <si>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</si>
  <si>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</si>
  <si>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</si>
  <si>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</si>
  <si>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</si>
  <si>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Laser apparatus (ophthalmic): Hire fee for one or both eyes done in one sitting (Not to be used with IOL Master.)</t>
  </si>
  <si>
    <t>Sensorimotor examination: With multiple measurements of ocular deviation; one or both eyes (eg., restrictive or paretic muscle with diplopia) with interpretation and report, for patients over 7 years of age</t>
  </si>
  <si>
    <t>Sensorimotor examination: With multiple measurements of ocular deviation; one or both eyes (eg., restrictive or paretic muscle with diplopia) with interpretation and report, for children 7 years and younger</t>
  </si>
  <si>
    <t>Femtosecond Laser: Hire Fee. For one or both eyes done in one sitting</t>
  </si>
  <si>
    <t>Insertion of intra-corneal or intrascleral prosthesis: Pathological cornea</t>
  </si>
  <si>
    <t>Removal of foreign body: Embedded, per eyelid (modifier 0005 is applicable)</t>
  </si>
  <si>
    <t>New Codes &amp; Changes</t>
  </si>
  <si>
    <t>COMPARATIVE TARIFFS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</si>
  <si>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</si>
  <si>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</si>
  <si>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</si>
  <si>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</si>
  <si>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</si>
  <si>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</si>
  <si>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</si>
  <si>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</si>
  <si>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</si>
  <si>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</si>
  <si>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</si>
  <si>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</si>
  <si>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</si>
  <si>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</si>
  <si>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</si>
  <si>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</si>
  <si>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</si>
  <si>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</si>
  <si>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</si>
  <si>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</si>
  <si>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</si>
  <si>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</si>
  <si>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</si>
  <si>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</si>
  <si>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</si>
  <si>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</si>
  <si>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</si>
  <si>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</si>
  <si>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</si>
  <si>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</si>
  <si>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Bestmed</t>
  </si>
  <si>
    <t>Medihelp</t>
  </si>
  <si>
    <t>ProfMed</t>
  </si>
  <si>
    <t>HealthMan - Specialists</t>
  </si>
  <si>
    <t>HealthMan - Psychiatry</t>
  </si>
  <si>
    <t>HealthMan - GP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</si>
  <si>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</si>
  <si>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</si>
  <si>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</si>
  <si>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</si>
  <si>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</si>
  <si>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</si>
  <si>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</si>
  <si>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</si>
  <si>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</si>
  <si>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</si>
  <si>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</si>
  <si>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</si>
  <si>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</si>
  <si>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</si>
  <si>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</si>
  <si>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</si>
  <si>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</si>
  <si>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</si>
  <si>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</si>
  <si>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</si>
  <si>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</si>
  <si>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</si>
  <si>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</si>
  <si>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</si>
  <si>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</si>
  <si>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</si>
  <si>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</si>
  <si>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99445</t>
  </si>
  <si>
    <t>99446</t>
  </si>
  <si>
    <t>99447</t>
  </si>
  <si>
    <t>99448</t>
  </si>
  <si>
    <t>Basic Cataract Global Fee - Right Eye</t>
  </si>
  <si>
    <t>Basic Cataract Global Fee - Left Eye</t>
  </si>
  <si>
    <t>Enhanced Cataract Global Fee - Right Eye</t>
  </si>
  <si>
    <t>Enhanced Cataract Global Fee - Left Eye</t>
  </si>
  <si>
    <t>Non-Network
Base Rate</t>
  </si>
  <si>
    <t>Non-Network
RCF</t>
  </si>
  <si>
    <t>4981T</t>
  </si>
  <si>
    <t>4983T</t>
  </si>
  <si>
    <t>4988T</t>
  </si>
  <si>
    <t>4989T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</si>
  <si>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</si>
  <si>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</si>
  <si>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</si>
  <si>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</si>
  <si>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</si>
  <si>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</si>
  <si>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11. Applicable to Governance Project Participants (only)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</si>
  <si>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</si>
  <si>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</si>
  <si>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</si>
  <si>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</si>
  <si>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</si>
  <si>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</si>
  <si>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</si>
  <si>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</si>
  <si>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3090</t>
  </si>
  <si>
    <t>Intra-Vitreal Injection Drug</t>
  </si>
  <si>
    <t>Digital Tomography of optic nerve with Scanning Laser Ophthalmoscope (SLO). Limited to two examinations per annum</t>
  </si>
  <si>
    <t>Blepharoplasty: Upper lid for improvement in function (unilateral)</t>
  </si>
  <si>
    <t>Repair by superior rectus, levator or frontalis muscle operation</t>
  </si>
  <si>
    <t>3026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</si>
  <si>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</si>
  <si>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</si>
  <si>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</si>
  <si>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</si>
  <si>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</si>
  <si>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</si>
  <si>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</si>
  <si>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</si>
  <si>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</si>
  <si>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</si>
  <si>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</si>
  <si>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</si>
  <si>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</si>
  <si>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</si>
  <si>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</si>
  <si>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</si>
  <si>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</si>
  <si>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</si>
  <si>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CAMAF RCF</t>
  </si>
  <si>
    <t>CAMAF Base Rate</t>
  </si>
  <si>
    <t>Network Base Rate</t>
  </si>
  <si>
    <t>Network
RCF</t>
  </si>
  <si>
    <t>Non-Contracted Base Rate</t>
  </si>
  <si>
    <t>Ethical
Tariff</t>
  </si>
  <si>
    <t>Please refer to the Notes and Disclaimer on the Digital version of this document before use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</si>
  <si>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</si>
  <si>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</si>
  <si>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</si>
  <si>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</si>
  <si>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</si>
  <si>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HEALTHMAN OPHTHALMOLOGY COSTING GUIDE 2023</t>
  </si>
  <si>
    <t xml:space="preserve">    Please note that many of the descriptors are shortened versions.  For the full descriptors please refer to the 2022/23 SAMA eMDCM.</t>
  </si>
  <si>
    <t xml:space="preserve">4. The HealthMan Rate increased by 7.5% (equal to our current assessment of medical inflation). </t>
  </si>
  <si>
    <t>5.3 The Network rate increased with 6.9% and 6.65% compared to the Non-Network that increased only 5.9%.    </t>
  </si>
  <si>
    <t>12. Please note the SAMA 2023 eMDCM has not yet been published as of 31 January 2023.2</t>
  </si>
  <si>
    <t>CAMAF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</si>
</sst>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_(* #,##0.000_);_(* \(#,##0.000\);_(* &quot;-&quot;??_);_(@_)"/>
    <numFmt numFmtId="167" formatCode="[$R-1C09]\ #,##0.00"/>
  </numFmts>
  <fonts count="47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sz val="10"/>
      <color theme="5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5" xfId="1" applyNumberFormat="1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5" xfId="1" applyNumberFormat="1" applyFont="1" applyFill="1" applyBorder="1" applyAlignment="1" applyProtection="1">
      <alignment wrapText="1"/>
      <protection hidden="1"/>
    </xf>
    <xf numFmtId="0" fontId="6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0" fontId="18" fillId="4" borderId="5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6" xfId="0" applyFont="1" applyFill="1" applyBorder="1" applyAlignment="1" applyProtection="1">
      <alignment wrapText="1"/>
      <protection hidden="1"/>
    </xf>
    <xf numFmtId="0" fontId="3" fillId="4" borderId="6" xfId="1" applyNumberFormat="1" applyFont="1" applyFill="1" applyBorder="1" applyAlignment="1" applyProtection="1">
      <alignment wrapText="1"/>
      <protection hidden="1"/>
    </xf>
    <xf numFmtId="164" fontId="3" fillId="4" borderId="6" xfId="1" applyFont="1" applyFill="1" applyBorder="1" applyAlignment="1" applyProtection="1">
      <alignment wrapText="1"/>
      <protection hidden="1"/>
    </xf>
    <xf numFmtId="165" fontId="3" fillId="4" borderId="6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0" fontId="2" fillId="3" borderId="2" xfId="0" applyFont="1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164" fontId="2" fillId="3" borderId="3" xfId="1" applyFont="1" applyFill="1" applyBorder="1" applyAlignment="1" applyProtection="1">
      <protection hidden="1"/>
    </xf>
    <xf numFmtId="0" fontId="2" fillId="3" borderId="7" xfId="0" applyFont="1" applyFill="1" applyBorder="1" applyProtection="1">
      <protection hidden="1"/>
    </xf>
    <xf numFmtId="0" fontId="4" fillId="0" borderId="0" xfId="0" applyFont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0" fontId="6" fillId="4" borderId="1" xfId="1" applyNumberFormat="1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7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49" fontId="5" fillId="2" borderId="8" xfId="0" applyNumberFormat="1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3" fillId="6" borderId="19" xfId="1" applyNumberFormat="1" applyFont="1" applyFill="1" applyBorder="1" applyProtection="1">
      <protection hidden="1"/>
    </xf>
    <xf numFmtId="9" fontId="5" fillId="6" borderId="19" xfId="0" applyNumberFormat="1" applyFont="1" applyFill="1" applyBorder="1" applyProtection="1">
      <protection hidden="1"/>
    </xf>
    <xf numFmtId="0" fontId="5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8" fillId="2" borderId="9" xfId="0" applyNumberFormat="1" applyFont="1" applyFill="1" applyBorder="1" applyAlignment="1" applyProtection="1">
      <alignment horizontal="center"/>
      <protection hidden="1"/>
    </xf>
    <xf numFmtId="0" fontId="9" fillId="2" borderId="17" xfId="0" applyFont="1" applyFill="1" applyBorder="1" applyAlignment="1" applyProtection="1">
      <alignment horizontal="left" wrapText="1"/>
      <protection hidden="1"/>
    </xf>
    <xf numFmtId="0" fontId="10" fillId="2" borderId="20" xfId="0" applyFont="1" applyFill="1" applyBorder="1" applyProtection="1">
      <protection hidden="1"/>
    </xf>
    <xf numFmtId="164" fontId="10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8" fillId="2" borderId="20" xfId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9" fontId="8" fillId="6" borderId="20" xfId="0" applyNumberFormat="1" applyFont="1" applyFill="1" applyBorder="1" applyProtection="1">
      <protection hidden="1"/>
    </xf>
    <xf numFmtId="0" fontId="8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1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6" borderId="20" xfId="0" applyNumberFormat="1" applyFont="1" applyFill="1" applyBorder="1" applyProtection="1">
      <protection hidden="1"/>
    </xf>
    <xf numFmtId="0" fontId="11" fillId="2" borderId="17" xfId="0" applyFont="1" applyFill="1" applyBorder="1" applyAlignment="1" applyProtection="1">
      <alignment wrapText="1"/>
      <protection hidden="1"/>
    </xf>
    <xf numFmtId="49" fontId="5" fillId="2" borderId="10" xfId="0" applyNumberFormat="1" applyFont="1" applyFill="1" applyBorder="1" applyProtection="1">
      <protection hidden="1"/>
    </xf>
    <xf numFmtId="0" fontId="11" fillId="2" borderId="18" xfId="0" applyFont="1" applyFill="1" applyBorder="1" applyAlignment="1" applyProtection="1">
      <alignment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164" fontId="8" fillId="6" borderId="21" xfId="0" applyNumberFormat="1" applyFont="1" applyFill="1" applyBorder="1" applyProtection="1"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6" xfId="0" applyFont="1" applyFill="1" applyBorder="1" applyAlignment="1" applyProtection="1">
      <alignment wrapText="1"/>
      <protection hidden="1"/>
    </xf>
    <xf numFmtId="0" fontId="11" fillId="2" borderId="19" xfId="0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164" fontId="8" fillId="6" borderId="19" xfId="0" applyNumberFormat="1" applyFont="1" applyFill="1" applyBorder="1" applyProtection="1">
      <protection hidden="1"/>
    </xf>
    <xf numFmtId="49" fontId="5" fillId="2" borderId="9" xfId="0" quotePrefix="1" applyNumberFormat="1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49" fontId="5" fillId="2" borderId="9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49" fontId="13" fillId="2" borderId="9" xfId="0" applyNumberFormat="1" applyFont="1" applyFill="1" applyBorder="1" applyProtection="1">
      <protection hidden="1"/>
    </xf>
    <xf numFmtId="164" fontId="13" fillId="2" borderId="20" xfId="1" applyFont="1" applyFill="1" applyBorder="1" applyProtection="1">
      <protection hidden="1"/>
    </xf>
    <xf numFmtId="165" fontId="13" fillId="2" borderId="20" xfId="1" applyNumberFormat="1" applyFont="1" applyFill="1" applyBorder="1" applyProtection="1">
      <protection hidden="1"/>
    </xf>
    <xf numFmtId="49" fontId="14" fillId="2" borderId="9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2" borderId="20" xfId="1" applyNumberFormat="1" applyFont="1" applyFill="1" applyBorder="1" applyProtection="1">
      <protection hidden="1"/>
    </xf>
    <xf numFmtId="49" fontId="5" fillId="2" borderId="22" xfId="0" applyNumberFormat="1" applyFont="1" applyFill="1" applyBorder="1" applyProtection="1">
      <protection hidden="1"/>
    </xf>
    <xf numFmtId="0" fontId="5" fillId="2" borderId="23" xfId="0" applyFont="1" applyFill="1" applyBorder="1" applyAlignment="1" applyProtection="1">
      <alignment wrapText="1"/>
      <protection hidden="1"/>
    </xf>
    <xf numFmtId="164" fontId="5" fillId="2" borderId="24" xfId="1" applyFont="1" applyFill="1" applyBorder="1" applyProtection="1">
      <protection hidden="1"/>
    </xf>
    <xf numFmtId="165" fontId="14" fillId="2" borderId="24" xfId="1" applyNumberFormat="1" applyFont="1" applyFill="1" applyBorder="1" applyProtection="1">
      <protection hidden="1"/>
    </xf>
    <xf numFmtId="164" fontId="5" fillId="0" borderId="24" xfId="1" applyFont="1" applyFill="1" applyBorder="1" applyProtection="1">
      <protection hidden="1"/>
    </xf>
    <xf numFmtId="165" fontId="5" fillId="2" borderId="24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4" fontId="5" fillId="6" borderId="24" xfId="0" applyNumberFormat="1" applyFont="1" applyFill="1" applyBorder="1" applyProtection="1">
      <protection hidden="1"/>
    </xf>
    <xf numFmtId="164" fontId="5" fillId="6" borderId="24" xfId="1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8" xfId="0" applyFont="1" applyFill="1" applyBorder="1" applyAlignment="1" applyProtection="1">
      <alignment wrapText="1"/>
      <protection hidden="1"/>
    </xf>
    <xf numFmtId="0" fontId="3" fillId="2" borderId="21" xfId="0" applyFont="1" applyFill="1" applyBorder="1" applyProtection="1">
      <protection hidden="1"/>
    </xf>
    <xf numFmtId="49" fontId="5" fillId="2" borderId="11" xfId="0" applyNumberFormat="1" applyFont="1" applyFill="1" applyBorder="1" applyProtection="1">
      <protection hidden="1"/>
    </xf>
    <xf numFmtId="49" fontId="5" fillId="2" borderId="13" xfId="0" applyNumberFormat="1" applyFont="1" applyFill="1" applyBorder="1" applyProtection="1">
      <protection hidden="1"/>
    </xf>
    <xf numFmtId="49" fontId="5" fillId="2" borderId="14" xfId="0" applyNumberFormat="1" applyFont="1" applyFill="1" applyBorder="1" applyProtection="1">
      <protection hidden="1"/>
    </xf>
    <xf numFmtId="49" fontId="5" fillId="2" borderId="15" xfId="0" applyNumberFormat="1" applyFont="1" applyFill="1" applyBorder="1" applyProtection="1"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5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5" xfId="1" applyNumberFormat="1" applyFont="1" applyFill="1" applyBorder="1" applyAlignment="1" applyProtection="1">
      <alignment wrapText="1"/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4" fillId="3" borderId="6" xfId="0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6" fillId="4" borderId="25" xfId="1" applyFont="1" applyFill="1" applyBorder="1" applyAlignment="1" applyProtection="1">
      <alignment horizontal="center" wrapText="1"/>
      <protection hidden="1"/>
    </xf>
    <xf numFmtId="165" fontId="6" fillId="4" borderId="25" xfId="1" applyNumberFormat="1" applyFont="1" applyFill="1" applyBorder="1" applyAlignment="1" applyProtection="1">
      <alignment horizontal="center" wrapText="1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14" xfId="0" applyFont="1" applyFill="1" applyBorder="1" applyProtection="1">
      <protection hidden="1"/>
    </xf>
    <xf numFmtId="0" fontId="4" fillId="3" borderId="6" xfId="0" applyFont="1" applyFill="1" applyBorder="1" applyProtection="1">
      <protection hidden="1"/>
    </xf>
    <xf numFmtId="164" fontId="4" fillId="3" borderId="6" xfId="1" applyFont="1" applyFill="1" applyBorder="1" applyAlignment="1" applyProtection="1">
      <protection hidden="1"/>
    </xf>
    <xf numFmtId="0" fontId="4" fillId="3" borderId="15" xfId="0" applyFont="1" applyFill="1" applyBorder="1" applyProtection="1">
      <protection hidden="1"/>
    </xf>
    <xf numFmtId="49" fontId="3" fillId="2" borderId="14" xfId="0" applyNumberFormat="1" applyFont="1" applyFill="1" applyBorder="1" applyProtection="1">
      <protection hidden="1"/>
    </xf>
    <xf numFmtId="49" fontId="3" fillId="2" borderId="6" xfId="0" applyNumberFormat="1" applyFont="1" applyFill="1" applyBorder="1" applyProtection="1">
      <protection hidden="1"/>
    </xf>
    <xf numFmtId="49" fontId="3" fillId="2" borderId="15" xfId="0" applyNumberFormat="1" applyFont="1" applyFill="1" applyBorder="1" applyProtection="1">
      <protection hidden="1"/>
    </xf>
    <xf numFmtId="164" fontId="25" fillId="2" borderId="23" xfId="1" applyFont="1" applyFill="1" applyBorder="1" applyAlignment="1" applyProtection="1">
      <alignment wrapText="1"/>
      <protection hidden="1"/>
    </xf>
    <xf numFmtId="164" fontId="25" fillId="2" borderId="24" xfId="1" applyFont="1" applyFill="1" applyBorder="1" applyProtection="1">
      <protection hidden="1"/>
    </xf>
    <xf numFmtId="164" fontId="25" fillId="0" borderId="24" xfId="1" applyFont="1" applyFill="1" applyBorder="1" applyProtection="1">
      <protection hidden="1"/>
    </xf>
    <xf numFmtId="164" fontId="25" fillId="6" borderId="24" xfId="1" applyFont="1" applyFill="1" applyBorder="1" applyProtection="1">
      <protection hidden="1"/>
    </xf>
    <xf numFmtId="0" fontId="25" fillId="2" borderId="0" xfId="0" applyFont="1" applyFill="1" applyProtection="1">
      <protection hidden="1"/>
    </xf>
    <xf numFmtId="49" fontId="25" fillId="2" borderId="22" xfId="1" applyNumberFormat="1" applyFont="1" applyFill="1" applyBorder="1" applyProtection="1">
      <protection hidden="1"/>
    </xf>
    <xf numFmtId="164" fontId="3" fillId="2" borderId="6" xfId="1" applyFont="1" applyFill="1" applyBorder="1" applyAlignment="1" applyProtection="1">
      <protection hidden="1"/>
    </xf>
    <xf numFmtId="164" fontId="14" fillId="2" borderId="24" xfId="1" applyFont="1" applyFill="1" applyBorder="1" applyProtection="1">
      <protection hidden="1"/>
    </xf>
    <xf numFmtId="164" fontId="26" fillId="0" borderId="20" xfId="1" applyFont="1" applyFill="1" applyBorder="1" applyProtection="1">
      <protection hidden="1"/>
    </xf>
    <xf numFmtId="165" fontId="3" fillId="3" borderId="7" xfId="1" applyNumberFormat="1" applyFont="1" applyFill="1" applyBorder="1" applyProtection="1">
      <protection hidden="1"/>
    </xf>
    <xf numFmtId="164" fontId="27" fillId="2" borderId="20" xfId="1" applyFont="1" applyFill="1" applyBorder="1" applyProtection="1">
      <protection hidden="1"/>
    </xf>
    <xf numFmtId="165" fontId="27" fillId="0" borderId="20" xfId="1" applyNumberFormat="1" applyFont="1" applyFill="1" applyBorder="1" applyProtection="1">
      <protection hidden="1"/>
    </xf>
    <xf numFmtId="164" fontId="27" fillId="0" borderId="20" xfId="1" applyFont="1" applyFill="1" applyBorder="1" applyProtection="1">
      <protection hidden="1"/>
    </xf>
    <xf numFmtId="164" fontId="27" fillId="6" borderId="20" xfId="0" applyNumberFormat="1" applyFont="1" applyFill="1" applyBorder="1" applyProtection="1">
      <protection hidden="1"/>
    </xf>
    <xf numFmtId="164" fontId="27" fillId="6" borderId="20" xfId="1" applyFont="1" applyFill="1" applyBorder="1" applyProtection="1">
      <protection hidden="1"/>
    </xf>
    <xf numFmtId="164" fontId="27" fillId="2" borderId="24" xfId="1" applyFont="1" applyFill="1" applyBorder="1" applyProtection="1">
      <protection hidden="1"/>
    </xf>
    <xf numFmtId="164" fontId="27" fillId="0" borderId="24" xfId="1" applyFont="1" applyFill="1" applyBorder="1" applyProtection="1">
      <protection hidden="1"/>
    </xf>
    <xf numFmtId="165" fontId="27" fillId="0" borderId="24" xfId="1" applyNumberFormat="1" applyFont="1" applyFill="1" applyBorder="1" applyProtection="1">
      <protection hidden="1"/>
    </xf>
    <xf numFmtId="164" fontId="27" fillId="6" borderId="24" xfId="0" applyNumberFormat="1" applyFont="1" applyFill="1" applyBorder="1" applyProtection="1">
      <protection hidden="1"/>
    </xf>
    <xf numFmtId="165" fontId="27" fillId="2" borderId="24" xfId="1" applyNumberFormat="1" applyFont="1" applyFill="1" applyBorder="1" applyProtection="1">
      <protection hidden="1"/>
    </xf>
    <xf numFmtId="164" fontId="27" fillId="6" borderId="24" xfId="1" applyFont="1" applyFill="1" applyBorder="1" applyProtection="1">
      <protection hidden="1"/>
    </xf>
    <xf numFmtId="164" fontId="28" fillId="2" borderId="21" xfId="1" applyFont="1" applyFill="1" applyBorder="1" applyProtection="1">
      <protection hidden="1"/>
    </xf>
    <xf numFmtId="165" fontId="28" fillId="2" borderId="21" xfId="1" applyNumberFormat="1" applyFont="1" applyFill="1" applyBorder="1" applyProtection="1">
      <protection hidden="1"/>
    </xf>
    <xf numFmtId="165" fontId="27" fillId="6" borderId="21" xfId="1" applyNumberFormat="1" applyFont="1" applyFill="1" applyBorder="1" applyProtection="1">
      <protection hidden="1"/>
    </xf>
    <xf numFmtId="0" fontId="28" fillId="6" borderId="21" xfId="0" applyFont="1" applyFill="1" applyBorder="1" applyProtection="1">
      <protection hidden="1"/>
    </xf>
    <xf numFmtId="165" fontId="28" fillId="6" borderId="21" xfId="1" applyNumberFormat="1" applyFont="1" applyFill="1" applyBorder="1" applyProtection="1">
      <protection hidden="1"/>
    </xf>
    <xf numFmtId="164" fontId="27" fillId="2" borderId="21" xfId="1" applyFont="1" applyFill="1" applyBorder="1" applyProtection="1">
      <protection hidden="1"/>
    </xf>
    <xf numFmtId="165" fontId="27" fillId="2" borderId="21" xfId="1" applyNumberFormat="1" applyFont="1" applyFill="1" applyBorder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9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7" fillId="2" borderId="9" xfId="0" applyNumberFormat="1" applyFont="1" applyFill="1" applyBorder="1" applyProtection="1">
      <protection hidden="1"/>
    </xf>
    <xf numFmtId="0" fontId="27" fillId="2" borderId="17" xfId="0" applyFont="1" applyFill="1" applyBorder="1" applyAlignment="1" applyProtection="1">
      <alignment wrapText="1"/>
      <protection hidden="1"/>
    </xf>
    <xf numFmtId="0" fontId="28" fillId="2" borderId="0" xfId="0" applyFont="1" applyFill="1" applyProtection="1">
      <protection hidden="1"/>
    </xf>
    <xf numFmtId="0" fontId="15" fillId="2" borderId="11" xfId="0" applyFont="1" applyFill="1" applyBorder="1" applyProtection="1">
      <protection hidden="1"/>
    </xf>
    <xf numFmtId="0" fontId="18" fillId="2" borderId="4" xfId="0" applyFont="1" applyFill="1" applyBorder="1" applyProtection="1">
      <protection hidden="1"/>
    </xf>
    <xf numFmtId="0" fontId="18" fillId="2" borderId="0" xfId="0" applyFont="1" applyFill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0" fontId="18" fillId="2" borderId="0" xfId="0" applyFont="1" applyFill="1" applyAlignment="1" applyProtection="1">
      <alignment horizontal="left" wrapText="1"/>
      <protection hidden="1"/>
    </xf>
    <xf numFmtId="0" fontId="33" fillId="2" borderId="4" xfId="0" applyFont="1" applyFill="1" applyBorder="1" applyProtection="1">
      <protection hidden="1"/>
    </xf>
    <xf numFmtId="0" fontId="16" fillId="2" borderId="4" xfId="0" applyFont="1" applyFill="1" applyBorder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22" fillId="2" borderId="4" xfId="0" applyFont="1" applyFill="1" applyBorder="1" applyProtection="1">
      <protection hidden="1"/>
    </xf>
    <xf numFmtId="0" fontId="30" fillId="2" borderId="4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23" fillId="2" borderId="4" xfId="0" applyFont="1" applyFill="1" applyBorder="1" applyProtection="1">
      <protection hidden="1"/>
    </xf>
    <xf numFmtId="0" fontId="18" fillId="4" borderId="4" xfId="0" applyFont="1" applyFill="1" applyBorder="1" applyProtection="1">
      <protection hidden="1"/>
    </xf>
    <xf numFmtId="0" fontId="18" fillId="4" borderId="0" xfId="0" applyFont="1" applyFill="1" applyAlignment="1" applyProtection="1">
      <alignment wrapText="1"/>
      <protection hidden="1"/>
    </xf>
    <xf numFmtId="164" fontId="18" fillId="4" borderId="0" xfId="0" applyNumberFormat="1" applyFont="1" applyFill="1" applyAlignment="1" applyProtection="1">
      <alignment wrapText="1"/>
      <protection hidden="1"/>
    </xf>
    <xf numFmtId="49" fontId="5" fillId="2" borderId="9" xfId="0" applyNumberFormat="1" applyFont="1" applyFill="1" applyBorder="1" applyAlignment="1" applyProtection="1">
      <alignment horizontal="left"/>
      <protection hidden="1"/>
    </xf>
    <xf numFmtId="0" fontId="34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Protection="1">
      <protection hidden="1"/>
    </xf>
    <xf numFmtId="0" fontId="5" fillId="2" borderId="17" xfId="0" applyFont="1" applyFill="1" applyBorder="1" applyProtection="1">
      <protection hidden="1"/>
    </xf>
    <xf numFmtId="0" fontId="27" fillId="2" borderId="17" xfId="0" applyFont="1" applyFill="1" applyBorder="1" applyAlignment="1" applyProtection="1">
      <alignment horizontal="left" wrapText="1"/>
      <protection hidden="1"/>
    </xf>
    <xf numFmtId="0" fontId="27" fillId="2" borderId="20" xfId="1" applyNumberFormat="1" applyFont="1" applyFill="1" applyBorder="1" applyProtection="1">
      <protection hidden="1"/>
    </xf>
    <xf numFmtId="166" fontId="20" fillId="0" borderId="1" xfId="1" applyNumberFormat="1" applyFont="1" applyBorder="1" applyAlignment="1" applyProtection="1">
      <alignment horizontal="center"/>
      <protection hidden="1"/>
    </xf>
    <xf numFmtId="165" fontId="26" fillId="0" borderId="20" xfId="1" applyNumberFormat="1" applyFont="1" applyFill="1" applyBorder="1" applyProtection="1">
      <protection hidden="1"/>
    </xf>
    <xf numFmtId="0" fontId="35" fillId="2" borderId="4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4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4" xfId="0" applyFont="1" applyFill="1" applyBorder="1" applyProtection="1">
      <protection hidden="1"/>
    </xf>
    <xf numFmtId="0" fontId="40" fillId="2" borderId="0" xfId="0" applyFont="1" applyFill="1" applyAlignment="1" applyProtection="1">
      <alignment wrapText="1"/>
      <protection hidden="1"/>
    </xf>
    <xf numFmtId="164" fontId="40" fillId="2" borderId="0" xfId="1" applyFont="1" applyFill="1" applyBorder="1" applyAlignment="1" applyProtection="1">
      <alignment wrapText="1"/>
      <protection hidden="1"/>
    </xf>
    <xf numFmtId="165" fontId="40" fillId="2" borderId="0" xfId="1" applyNumberFormat="1" applyFont="1" applyFill="1" applyBorder="1" applyAlignment="1" applyProtection="1">
      <alignment wrapText="1"/>
      <protection hidden="1"/>
    </xf>
    <xf numFmtId="165" fontId="40" fillId="2" borderId="5" xfId="1" applyNumberFormat="1" applyFont="1" applyFill="1" applyBorder="1" applyAlignment="1" applyProtection="1">
      <alignment wrapText="1"/>
      <protection hidden="1"/>
    </xf>
    <xf numFmtId="0" fontId="40" fillId="2" borderId="0" xfId="0" applyFont="1" applyFill="1" applyProtection="1">
      <protection hidden="1"/>
    </xf>
    <xf numFmtId="0" fontId="41" fillId="2" borderId="4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49" fontId="42" fillId="10" borderId="4" xfId="0" applyNumberFormat="1" applyFont="1" applyFill="1" applyBorder="1" applyProtection="1">
      <protection hidden="1"/>
    </xf>
    <xf numFmtId="0" fontId="43" fillId="10" borderId="0" xfId="0" applyFont="1" applyFill="1" applyProtection="1">
      <protection hidden="1"/>
    </xf>
    <xf numFmtId="165" fontId="43" fillId="10" borderId="0" xfId="1" applyNumberFormat="1" applyFont="1" applyFill="1" applyBorder="1" applyProtection="1">
      <protection hidden="1"/>
    </xf>
    <xf numFmtId="164" fontId="43" fillId="10" borderId="0" xfId="1" applyFont="1" applyFill="1" applyBorder="1" applyProtection="1">
      <protection hidden="1"/>
    </xf>
    <xf numFmtId="165" fontId="42" fillId="10" borderId="0" xfId="1" applyNumberFormat="1" applyFont="1" applyFill="1" applyBorder="1" applyProtection="1">
      <protection hidden="1"/>
    </xf>
    <xf numFmtId="167" fontId="43" fillId="10" borderId="0" xfId="0" applyNumberFormat="1" applyFont="1" applyFill="1" applyProtection="1">
      <protection hidden="1"/>
    </xf>
    <xf numFmtId="165" fontId="43" fillId="10" borderId="0" xfId="0" applyNumberFormat="1" applyFont="1" applyFill="1" applyProtection="1">
      <protection hidden="1"/>
    </xf>
    <xf numFmtId="164" fontId="42" fillId="10" borderId="0" xfId="1" applyFont="1" applyFill="1" applyBorder="1" applyProtection="1">
      <protection hidden="1"/>
    </xf>
    <xf numFmtId="165" fontId="42" fillId="10" borderId="5" xfId="1" applyNumberFormat="1" applyFont="1" applyFill="1" applyBorder="1" applyProtection="1">
      <protection hidden="1"/>
    </xf>
    <xf numFmtId="166" fontId="20" fillId="7" borderId="1" xfId="1" applyNumberFormat="1" applyFont="1" applyFill="1" applyBorder="1" applyAlignment="1" applyProtection="1">
      <alignment horizontal="center"/>
      <protection hidden="1"/>
    </xf>
    <xf numFmtId="166" fontId="20" fillId="0" borderId="1" xfId="1" applyNumberFormat="1" applyFont="1" applyFill="1" applyBorder="1" applyAlignment="1" applyProtection="1">
      <alignment horizontal="center"/>
      <protection hidden="1"/>
    </xf>
    <xf numFmtId="164" fontId="18" fillId="2" borderId="0" xfId="1" applyFont="1" applyFill="1" applyAlignment="1" applyProtection="1">
      <alignment wrapText="1"/>
      <protection hidden="1"/>
    </xf>
    <xf numFmtId="0" fontId="44" fillId="9" borderId="11" xfId="0" applyFont="1" applyFill="1" applyBorder="1" applyProtection="1">
      <protection hidden="1"/>
    </xf>
    <xf numFmtId="0" fontId="43" fillId="9" borderId="12" xfId="0" applyFont="1" applyFill="1" applyBorder="1" applyAlignment="1" applyProtection="1">
      <alignment wrapText="1"/>
      <protection hidden="1"/>
    </xf>
    <xf numFmtId="0" fontId="43" fillId="9" borderId="12" xfId="1" applyNumberFormat="1" applyFont="1" applyFill="1" applyBorder="1" applyAlignment="1" applyProtection="1">
      <alignment wrapText="1"/>
      <protection hidden="1"/>
    </xf>
    <xf numFmtId="164" fontId="43" fillId="9" borderId="12" xfId="1" applyFont="1" applyFill="1" applyBorder="1" applyAlignment="1" applyProtection="1">
      <alignment wrapText="1"/>
      <protection hidden="1"/>
    </xf>
    <xf numFmtId="165" fontId="43" fillId="9" borderId="12" xfId="1" applyNumberFormat="1" applyFont="1" applyFill="1" applyBorder="1" applyAlignment="1" applyProtection="1">
      <alignment wrapText="1"/>
      <protection hidden="1"/>
    </xf>
    <xf numFmtId="165" fontId="43" fillId="9" borderId="13" xfId="1" applyNumberFormat="1" applyFont="1" applyFill="1" applyBorder="1" applyAlignment="1" applyProtection="1">
      <alignment wrapText="1"/>
      <protection hidden="1"/>
    </xf>
    <xf numFmtId="0" fontId="45" fillId="9" borderId="4" xfId="0" applyFont="1" applyFill="1" applyBorder="1" applyProtection="1">
      <protection hidden="1"/>
    </xf>
    <xf numFmtId="0" fontId="45" fillId="9" borderId="0" xfId="0" applyFont="1" applyFill="1" applyAlignment="1" applyProtection="1">
      <alignment wrapText="1"/>
      <protection hidden="1"/>
    </xf>
    <xf numFmtId="164" fontId="45" fillId="9" borderId="0" xfId="1" applyFont="1" applyFill="1" applyBorder="1" applyAlignment="1" applyProtection="1">
      <alignment wrapText="1"/>
      <protection hidden="1"/>
    </xf>
    <xf numFmtId="164" fontId="45" fillId="9" borderId="0" xfId="0" applyNumberFormat="1" applyFont="1" applyFill="1" applyAlignment="1" applyProtection="1">
      <alignment wrapText="1"/>
      <protection hidden="1"/>
    </xf>
    <xf numFmtId="164" fontId="45" fillId="9" borderId="0" xfId="1" applyFont="1" applyFill="1" applyAlignment="1" applyProtection="1">
      <alignment wrapText="1"/>
      <protection hidden="1"/>
    </xf>
    <xf numFmtId="165" fontId="45" fillId="9" borderId="0" xfId="1" applyNumberFormat="1" applyFont="1" applyFill="1" applyBorder="1" applyAlignment="1" applyProtection="1">
      <alignment wrapText="1"/>
      <protection hidden="1"/>
    </xf>
    <xf numFmtId="0" fontId="45" fillId="9" borderId="5" xfId="0" applyFont="1" applyFill="1" applyBorder="1" applyAlignment="1" applyProtection="1">
      <alignment wrapText="1"/>
      <protection hidden="1"/>
    </xf>
    <xf numFmtId="0" fontId="43" fillId="9" borderId="4" xfId="0" applyFont="1" applyFill="1" applyBorder="1" applyProtection="1">
      <protection hidden="1"/>
    </xf>
    <xf numFmtId="0" fontId="43" fillId="9" borderId="0" xfId="0" applyFont="1" applyFill="1" applyAlignment="1" applyProtection="1">
      <alignment wrapText="1"/>
      <protection hidden="1"/>
    </xf>
    <xf numFmtId="0" fontId="43" fillId="9" borderId="0" xfId="1" applyNumberFormat="1" applyFont="1" applyFill="1" applyBorder="1" applyAlignment="1" applyProtection="1">
      <alignment wrapText="1"/>
      <protection hidden="1"/>
    </xf>
    <xf numFmtId="164" fontId="43" fillId="9" borderId="0" xfId="1" applyFont="1" applyFill="1" applyBorder="1" applyAlignment="1" applyProtection="1">
      <alignment wrapText="1"/>
      <protection hidden="1"/>
    </xf>
    <xf numFmtId="165" fontId="43" fillId="9" borderId="0" xfId="1" applyNumberFormat="1" applyFont="1" applyFill="1" applyBorder="1" applyAlignment="1" applyProtection="1">
      <alignment wrapText="1"/>
      <protection hidden="1"/>
    </xf>
    <xf numFmtId="165" fontId="43" fillId="9" borderId="5" xfId="1" applyNumberFormat="1" applyFont="1" applyFill="1" applyBorder="1" applyAlignment="1" applyProtection="1">
      <alignment wrapText="1"/>
      <protection hidden="1"/>
    </xf>
    <xf numFmtId="164" fontId="18" fillId="4" borderId="0" xfId="1" applyFont="1" applyFill="1" applyAlignment="1" applyProtection="1">
      <alignment wrapText="1"/>
      <protection hidden="1"/>
    </xf>
    <xf numFmtId="164" fontId="2" fillId="3" borderId="3" xfId="1" applyFont="1" applyFill="1" applyBorder="1" applyProtection="1">
      <protection hidden="1"/>
    </xf>
    <xf numFmtId="164" fontId="3" fillId="2" borderId="6" xfId="1" applyFont="1" applyFill="1" applyBorder="1" applyProtection="1">
      <protection hidden="1"/>
    </xf>
    <xf numFmtId="164" fontId="4" fillId="3" borderId="6" xfId="1" applyFont="1" applyFill="1" applyBorder="1" applyProtection="1">
      <protection hidden="1"/>
    </xf>
    <xf numFmtId="0" fontId="29" fillId="11" borderId="1" xfId="0" applyFont="1" applyFill="1" applyBorder="1" applyProtection="1">
      <protection hidden="1"/>
    </xf>
    <xf numFmtId="0" fontId="29" fillId="11" borderId="1" xfId="0" applyFont="1" applyFill="1" applyBorder="1" applyAlignment="1" applyProtection="1">
      <alignment horizontal="center"/>
      <protection hidden="1"/>
    </xf>
    <xf numFmtId="0" fontId="29" fillId="11" borderId="1" xfId="0" quotePrefix="1" applyFont="1" applyFill="1" applyBorder="1" applyAlignment="1" applyProtection="1">
      <alignment horizontal="center"/>
      <protection hidden="1"/>
    </xf>
    <xf numFmtId="165" fontId="29" fillId="11" borderId="1" xfId="1" applyNumberFormat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horizontal="center"/>
      <protection hidden="1"/>
    </xf>
    <xf numFmtId="0" fontId="29" fillId="11" borderId="1" xfId="0" applyFont="1" applyFill="1" applyBorder="1" applyAlignment="1" applyProtection="1">
      <alignment wrapText="1"/>
      <protection hidden="1"/>
    </xf>
    <xf numFmtId="0" fontId="29" fillId="11" borderId="1" xfId="0" applyFont="1" applyFill="1" applyBorder="1" applyAlignment="1" applyProtection="1">
      <alignment horizontal="center" wrapText="1"/>
      <protection hidden="1"/>
    </xf>
    <xf numFmtId="0" fontId="29" fillId="11" borderId="1" xfId="0" quotePrefix="1" applyFont="1" applyFill="1" applyBorder="1" applyAlignment="1" applyProtection="1">
      <alignment horizontal="center" wrapText="1"/>
      <protection hidden="1"/>
    </xf>
    <xf numFmtId="165" fontId="29" fillId="11" borderId="1" xfId="1" applyNumberFormat="1" applyFont="1" applyFill="1" applyBorder="1" applyAlignment="1" applyProtection="1">
      <alignment wrapText="1"/>
      <protection hidden="1"/>
    </xf>
    <xf numFmtId="165" fontId="29" fillId="11" borderId="1" xfId="1" applyNumberFormat="1" applyFont="1" applyFill="1" applyBorder="1" applyProtection="1">
      <protection hidden="1"/>
    </xf>
    <xf numFmtId="165" fontId="46" fillId="11" borderId="1" xfId="1" applyNumberFormat="1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6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164" fontId="4" fillId="2" borderId="14" xfId="1" applyFont="1" applyFill="1" applyBorder="1" applyAlignment="1" applyProtection="1">
      <alignment horizontal="center"/>
      <protection hidden="1"/>
    </xf>
    <xf numFmtId="164" fontId="4" fillId="2" borderId="6" xfId="1" applyFont="1" applyFill="1" applyBorder="1" applyAlignment="1" applyProtection="1">
      <alignment horizontal="center"/>
      <protection hidden="1"/>
    </xf>
    <xf numFmtId="164" fontId="4" fillId="2" borderId="15" xfId="1" applyFont="1" applyFill="1" applyBorder="1" applyAlignment="1" applyProtection="1">
      <alignment horizontal="center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4</xdr:row>
      <xdr:rowOff>119062</xdr:rowOff>
    </xdr:from>
    <xdr:to>
      <xdr:col>1</xdr:col>
      <xdr:colOff>3106202</xdr:colOff>
      <xdr:row>4</xdr:row>
      <xdr:rowOff>768236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9BC803-5347-4DB9-BAC2-F9A98CA860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8" y="988218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39"/>
  <sheetViews>
    <sheetView tabSelected="1" zoomScale="80" zoomScaleNormal="80" zoomScaleSheetLayoutView="5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2.75" x14ac:dyDescent="0.2"/>
  <cols>
    <col min="1" max="1" width="8.85546875" style="35" bestFit="1" customWidth="1"/>
    <col min="2" max="2" width="64.7109375" style="14" customWidth="1"/>
    <col min="3" max="3" width="12.42578125" style="35" customWidth="1"/>
    <col min="4" max="4" width="10.5703125" style="36" bestFit="1" customWidth="1"/>
    <col min="5" max="5" width="7.85546875" style="37" bestFit="1" customWidth="1"/>
    <col min="6" max="6" width="9.42578125" style="36" bestFit="1" customWidth="1"/>
    <col min="7" max="7" width="8.42578125" style="37" bestFit="1" customWidth="1"/>
    <col min="8" max="8" width="9.42578125" style="36" bestFit="1" customWidth="1"/>
    <col min="9" max="9" width="8.42578125" style="37" bestFit="1" customWidth="1"/>
    <col min="10" max="10" width="9.42578125" style="37" bestFit="1" customWidth="1"/>
    <col min="11" max="11" width="10.5703125" style="37" customWidth="1"/>
    <col min="12" max="16" width="10.5703125" style="37" bestFit="1" customWidth="1"/>
    <col min="17" max="17" width="9.42578125" style="36" bestFit="1" customWidth="1"/>
    <col min="18" max="18" width="7.85546875" style="37" bestFit="1" customWidth="1"/>
    <col min="19" max="19" width="9.42578125" style="37" bestFit="1" customWidth="1"/>
    <col min="20" max="20" width="10.5703125" style="37" bestFit="1" customWidth="1"/>
    <col min="21" max="21" width="9.42578125" style="36" bestFit="1" customWidth="1"/>
    <col min="22" max="22" width="9.85546875" style="37" bestFit="1" customWidth="1"/>
    <col min="23" max="23" width="9.42578125" style="36" bestFit="1" customWidth="1"/>
    <col min="24" max="24" width="8.42578125" style="37" bestFit="1" customWidth="1"/>
    <col min="25" max="25" width="10.5703125" style="35" bestFit="1" customWidth="1"/>
    <col min="26" max="26" width="9.42578125" style="35" bestFit="1" customWidth="1"/>
    <col min="27" max="30" width="10.5703125" style="35" bestFit="1" customWidth="1"/>
    <col min="31" max="31" width="9.42578125" style="36" bestFit="1" customWidth="1"/>
    <col min="32" max="32" width="7.85546875" style="37" bestFit="1" customWidth="1"/>
    <col min="33" max="35" width="10.5703125" style="37" bestFit="1" customWidth="1"/>
    <col min="36" max="36" width="11" style="36" customWidth="1"/>
    <col min="37" max="37" width="10.5703125" style="37" customWidth="1"/>
    <col min="38" max="38" width="10.140625" style="36" customWidth="1"/>
    <col min="39" max="39" width="10.140625" style="37" customWidth="1"/>
    <col min="40" max="40" width="9.42578125" style="36" bestFit="1" customWidth="1"/>
    <col min="41" max="41" width="7.85546875" style="37" bestFit="1" customWidth="1"/>
    <col min="42" max="42" width="10.5703125" style="37" bestFit="1" customWidth="1"/>
    <col min="43" max="43" width="10.140625" style="37" customWidth="1"/>
    <col min="44" max="44" width="7.85546875" style="37" bestFit="1" customWidth="1"/>
    <col min="45" max="46" width="10.5703125" style="37" bestFit="1" customWidth="1"/>
    <col min="47" max="47" width="9.42578125" style="37" bestFit="1" customWidth="1"/>
    <col min="48" max="48" width="9.140625" style="37" bestFit="1" customWidth="1"/>
    <col min="49" max="49" width="10.5703125" style="36" bestFit="1" customWidth="1"/>
    <col min="50" max="50" width="9.140625" style="37" customWidth="1"/>
    <col min="51" max="52" width="9.85546875" style="37" bestFit="1" customWidth="1"/>
    <col min="53" max="53" width="10.5703125" style="37" bestFit="1" customWidth="1"/>
    <col min="54" max="54" width="8.7109375" style="37" bestFit="1" customWidth="1"/>
    <col min="55" max="55" width="0.7109375" style="35" customWidth="1"/>
    <col min="56" max="16384" width="9.140625" style="35"/>
  </cols>
  <sheetData>
    <row r="1" spans="1:55" ht="23.25" x14ac:dyDescent="0.35">
      <c r="A1" s="38" t="s">
        <v>270</v>
      </c>
      <c r="B1" s="39"/>
      <c r="C1" s="39"/>
      <c r="D1" s="39"/>
      <c r="E1" s="39"/>
      <c r="F1" s="40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283"/>
      <c r="AX1" s="39"/>
      <c r="AY1" s="39"/>
      <c r="AZ1" s="39"/>
      <c r="BA1" s="39"/>
      <c r="BB1" s="41"/>
    </row>
    <row r="2" spans="1:55" x14ac:dyDescent="0.2">
      <c r="A2" s="140"/>
      <c r="B2" s="141"/>
      <c r="C2" s="141"/>
      <c r="D2" s="141"/>
      <c r="E2" s="141"/>
      <c r="F2" s="149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284"/>
      <c r="AX2" s="141"/>
      <c r="AY2" s="141"/>
      <c r="AZ2" s="141"/>
      <c r="BA2" s="141"/>
      <c r="BB2" s="142"/>
    </row>
    <row r="3" spans="1:55" ht="15.75" x14ac:dyDescent="0.25">
      <c r="A3" s="136" t="s">
        <v>141</v>
      </c>
      <c r="B3" s="137"/>
      <c r="C3" s="137"/>
      <c r="D3" s="137"/>
      <c r="E3" s="137"/>
      <c r="F3" s="138"/>
      <c r="G3" s="137"/>
      <c r="H3" s="138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285"/>
      <c r="AX3" s="137"/>
      <c r="AY3" s="137"/>
      <c r="AZ3" s="137"/>
      <c r="BA3" s="137"/>
      <c r="BB3" s="139"/>
    </row>
    <row r="4" spans="1:55" ht="15.75" x14ac:dyDescent="0.25">
      <c r="A4" s="134"/>
      <c r="B4" s="135"/>
      <c r="C4" s="130"/>
      <c r="D4" s="297" t="s">
        <v>181</v>
      </c>
      <c r="E4" s="299"/>
      <c r="F4" s="297" t="s">
        <v>182</v>
      </c>
      <c r="G4" s="298"/>
      <c r="H4" s="298"/>
      <c r="I4" s="298"/>
      <c r="J4" s="298"/>
      <c r="K4" s="298"/>
      <c r="L4" s="298"/>
      <c r="M4" s="298"/>
      <c r="N4" s="298"/>
      <c r="O4" s="298"/>
      <c r="P4" s="299"/>
      <c r="Q4" s="297" t="s">
        <v>159</v>
      </c>
      <c r="R4" s="298"/>
      <c r="S4" s="298"/>
      <c r="T4" s="299"/>
      <c r="U4" s="297" t="s">
        <v>160</v>
      </c>
      <c r="V4" s="298"/>
      <c r="W4" s="298"/>
      <c r="X4" s="298"/>
      <c r="Y4" s="298"/>
      <c r="Z4" s="298"/>
      <c r="AA4" s="298"/>
      <c r="AB4" s="298"/>
      <c r="AC4" s="298"/>
      <c r="AD4" s="299"/>
      <c r="AE4" s="297" t="s">
        <v>162</v>
      </c>
      <c r="AF4" s="298"/>
      <c r="AG4" s="298"/>
      <c r="AH4" s="298"/>
      <c r="AI4" s="299"/>
      <c r="AJ4" s="297" t="s">
        <v>170</v>
      </c>
      <c r="AK4" s="298"/>
      <c r="AL4" s="298"/>
      <c r="AM4" s="299"/>
      <c r="AN4" s="297" t="s">
        <v>171</v>
      </c>
      <c r="AO4" s="298"/>
      <c r="AP4" s="299"/>
      <c r="AQ4" s="300" t="s">
        <v>183</v>
      </c>
      <c r="AR4" s="301"/>
      <c r="AS4" s="301"/>
      <c r="AT4" s="302"/>
      <c r="AU4" s="303" t="s">
        <v>184</v>
      </c>
      <c r="AV4" s="304"/>
      <c r="AW4" s="304"/>
      <c r="AX4" s="304"/>
      <c r="AY4" s="304"/>
      <c r="AZ4" s="304"/>
      <c r="BA4" s="304"/>
      <c r="BB4" s="305"/>
      <c r="BC4" s="42"/>
    </row>
    <row r="5" spans="1:55" ht="84" customHeight="1" x14ac:dyDescent="0.2">
      <c r="A5" s="43" t="s">
        <v>0</v>
      </c>
      <c r="B5" s="44" t="s">
        <v>1</v>
      </c>
      <c r="C5" s="45" t="s">
        <v>2</v>
      </c>
      <c r="D5" s="1" t="s">
        <v>263</v>
      </c>
      <c r="E5" s="2" t="s">
        <v>185</v>
      </c>
      <c r="F5" s="1" t="s">
        <v>213</v>
      </c>
      <c r="G5" s="1" t="s">
        <v>214</v>
      </c>
      <c r="H5" s="1" t="s">
        <v>260</v>
      </c>
      <c r="I5" s="1" t="s">
        <v>261</v>
      </c>
      <c r="J5" s="2" t="s">
        <v>188</v>
      </c>
      <c r="K5" s="2" t="s">
        <v>188</v>
      </c>
      <c r="L5" s="2" t="s">
        <v>188</v>
      </c>
      <c r="M5" s="2" t="s">
        <v>188</v>
      </c>
      <c r="N5" s="2" t="s">
        <v>188</v>
      </c>
      <c r="O5" s="2" t="s">
        <v>188</v>
      </c>
      <c r="P5" s="2" t="s">
        <v>188</v>
      </c>
      <c r="Q5" s="1" t="s">
        <v>187</v>
      </c>
      <c r="R5" s="2" t="s">
        <v>185</v>
      </c>
      <c r="S5" s="2" t="s">
        <v>188</v>
      </c>
      <c r="T5" s="2" t="s">
        <v>188</v>
      </c>
      <c r="U5" s="1" t="s">
        <v>213</v>
      </c>
      <c r="V5" s="2" t="s">
        <v>214</v>
      </c>
      <c r="W5" s="1" t="s">
        <v>260</v>
      </c>
      <c r="X5" s="1" t="s">
        <v>261</v>
      </c>
      <c r="Y5" s="131" t="s">
        <v>189</v>
      </c>
      <c r="Z5" s="131" t="s">
        <v>190</v>
      </c>
      <c r="AA5" s="131" t="s">
        <v>191</v>
      </c>
      <c r="AB5" s="131" t="s">
        <v>192</v>
      </c>
      <c r="AC5" s="131" t="s">
        <v>193</v>
      </c>
      <c r="AD5" s="131" t="s">
        <v>194</v>
      </c>
      <c r="AE5" s="1" t="s">
        <v>186</v>
      </c>
      <c r="AF5" s="1" t="s">
        <v>185</v>
      </c>
      <c r="AG5" s="1" t="s">
        <v>188</v>
      </c>
      <c r="AH5" s="1" t="s">
        <v>188</v>
      </c>
      <c r="AI5" s="1" t="s">
        <v>188</v>
      </c>
      <c r="AJ5" s="1" t="s">
        <v>262</v>
      </c>
      <c r="AK5" s="1" t="s">
        <v>195</v>
      </c>
      <c r="AL5" s="1" t="s">
        <v>196</v>
      </c>
      <c r="AM5" s="1" t="s">
        <v>197</v>
      </c>
      <c r="AN5" s="1" t="s">
        <v>198</v>
      </c>
      <c r="AO5" s="2" t="s">
        <v>185</v>
      </c>
      <c r="AP5" s="2" t="s">
        <v>188</v>
      </c>
      <c r="AQ5" s="1" t="s">
        <v>196</v>
      </c>
      <c r="AR5" s="2" t="s">
        <v>185</v>
      </c>
      <c r="AS5" s="1" t="s">
        <v>199</v>
      </c>
      <c r="AT5" s="1" t="s">
        <v>199</v>
      </c>
      <c r="AU5" s="1" t="s">
        <v>200</v>
      </c>
      <c r="AV5" s="1" t="s">
        <v>201</v>
      </c>
      <c r="AW5" s="1" t="s">
        <v>259</v>
      </c>
      <c r="AX5" s="1" t="s">
        <v>258</v>
      </c>
      <c r="AY5" s="1" t="s">
        <v>202</v>
      </c>
      <c r="AZ5" s="2" t="s">
        <v>203</v>
      </c>
      <c r="BA5" s="1" t="s">
        <v>204</v>
      </c>
      <c r="BB5" s="2" t="s">
        <v>127</v>
      </c>
    </row>
    <row r="6" spans="1:55" ht="13.5" customHeight="1" x14ac:dyDescent="0.2">
      <c r="A6" s="118"/>
      <c r="B6" s="119"/>
      <c r="C6" s="46"/>
      <c r="D6" s="3"/>
      <c r="E6" s="4"/>
      <c r="F6" s="5"/>
      <c r="G6" s="4"/>
      <c r="H6" s="5"/>
      <c r="I6" s="4"/>
      <c r="J6" s="7">
        <v>1.1000000000000001</v>
      </c>
      <c r="K6" s="7">
        <v>1.37</v>
      </c>
      <c r="L6" s="7">
        <v>1.47</v>
      </c>
      <c r="M6" s="7">
        <v>1.62</v>
      </c>
      <c r="N6" s="7">
        <v>2</v>
      </c>
      <c r="O6" s="7">
        <v>2.15</v>
      </c>
      <c r="P6" s="7">
        <v>3</v>
      </c>
      <c r="Q6" s="5"/>
      <c r="R6" s="4"/>
      <c r="S6" s="7">
        <v>1.3</v>
      </c>
      <c r="T6" s="7">
        <v>1.5</v>
      </c>
      <c r="U6" s="3"/>
      <c r="V6" s="6"/>
      <c r="W6" s="3"/>
      <c r="X6" s="6"/>
      <c r="Y6" s="8">
        <v>1.1000000000000001</v>
      </c>
      <c r="Z6" s="8">
        <v>1.37</v>
      </c>
      <c r="AA6" s="8">
        <v>1.62</v>
      </c>
      <c r="AB6" s="8">
        <v>1.47</v>
      </c>
      <c r="AC6" s="8">
        <v>2.17</v>
      </c>
      <c r="AD6" s="8">
        <v>3</v>
      </c>
      <c r="AE6" s="3"/>
      <c r="AF6" s="3"/>
      <c r="AG6" s="7">
        <v>1.65</v>
      </c>
      <c r="AH6" s="7">
        <v>2.1</v>
      </c>
      <c r="AI6" s="7">
        <v>3</v>
      </c>
      <c r="AJ6" s="3"/>
      <c r="AK6" s="6"/>
      <c r="AL6" s="3"/>
      <c r="AM6" s="6"/>
      <c r="AN6" s="5"/>
      <c r="AO6" s="4"/>
      <c r="AP6" s="7">
        <v>1.5</v>
      </c>
      <c r="AQ6" s="3"/>
      <c r="AR6" s="3"/>
      <c r="AS6" s="7">
        <v>1.3</v>
      </c>
      <c r="AT6" s="7">
        <v>1.45</v>
      </c>
      <c r="AU6" s="3"/>
      <c r="AV6" s="3"/>
      <c r="AW6" s="3"/>
      <c r="AX6" s="3"/>
      <c r="AY6" s="3"/>
      <c r="AZ6" s="3"/>
      <c r="BA6" s="4"/>
      <c r="BB6" s="4"/>
    </row>
    <row r="7" spans="1:55" ht="13.5" customHeight="1" x14ac:dyDescent="0.2">
      <c r="A7" s="120"/>
      <c r="B7" s="121"/>
      <c r="C7" s="47" t="s">
        <v>101</v>
      </c>
      <c r="D7" s="132" t="s">
        <v>102</v>
      </c>
      <c r="E7" s="133" t="s">
        <v>102</v>
      </c>
      <c r="F7" s="132" t="s">
        <v>102</v>
      </c>
      <c r="G7" s="133" t="s">
        <v>102</v>
      </c>
      <c r="H7" s="132" t="s">
        <v>102</v>
      </c>
      <c r="I7" s="133" t="s">
        <v>102</v>
      </c>
      <c r="J7" s="133" t="s">
        <v>102</v>
      </c>
      <c r="K7" s="133" t="s">
        <v>102</v>
      </c>
      <c r="L7" s="133" t="s">
        <v>102</v>
      </c>
      <c r="M7" s="133" t="s">
        <v>102</v>
      </c>
      <c r="N7" s="133" t="s">
        <v>102</v>
      </c>
      <c r="O7" s="133" t="s">
        <v>102</v>
      </c>
      <c r="P7" s="133" t="s">
        <v>102</v>
      </c>
      <c r="Q7" s="133" t="s">
        <v>102</v>
      </c>
      <c r="R7" s="133" t="s">
        <v>102</v>
      </c>
      <c r="S7" s="133" t="s">
        <v>102</v>
      </c>
      <c r="T7" s="133" t="s">
        <v>102</v>
      </c>
      <c r="U7" s="133" t="s">
        <v>102</v>
      </c>
      <c r="V7" s="133" t="s">
        <v>102</v>
      </c>
      <c r="W7" s="133" t="s">
        <v>102</v>
      </c>
      <c r="X7" s="133" t="s">
        <v>102</v>
      </c>
      <c r="Y7" s="133" t="s">
        <v>102</v>
      </c>
      <c r="Z7" s="133" t="s">
        <v>102</v>
      </c>
      <c r="AA7" s="133" t="s">
        <v>102</v>
      </c>
      <c r="AB7" s="133" t="s">
        <v>102</v>
      </c>
      <c r="AC7" s="133" t="s">
        <v>102</v>
      </c>
      <c r="AD7" s="133" t="s">
        <v>102</v>
      </c>
      <c r="AE7" s="133" t="s">
        <v>102</v>
      </c>
      <c r="AF7" s="133" t="s">
        <v>102</v>
      </c>
      <c r="AG7" s="133" t="s">
        <v>102</v>
      </c>
      <c r="AH7" s="133" t="s">
        <v>102</v>
      </c>
      <c r="AI7" s="133" t="s">
        <v>102</v>
      </c>
      <c r="AJ7" s="133" t="s">
        <v>102</v>
      </c>
      <c r="AK7" s="133" t="s">
        <v>102</v>
      </c>
      <c r="AL7" s="133" t="s">
        <v>102</v>
      </c>
      <c r="AM7" s="133" t="s">
        <v>102</v>
      </c>
      <c r="AN7" s="132" t="s">
        <v>102</v>
      </c>
      <c r="AO7" s="133" t="s">
        <v>102</v>
      </c>
      <c r="AP7" s="133" t="s">
        <v>102</v>
      </c>
      <c r="AQ7" s="132" t="s">
        <v>102</v>
      </c>
      <c r="AR7" s="133" t="s">
        <v>102</v>
      </c>
      <c r="AS7" s="133" t="s">
        <v>102</v>
      </c>
      <c r="AT7" s="133" t="s">
        <v>102</v>
      </c>
      <c r="AU7" s="132" t="s">
        <v>102</v>
      </c>
      <c r="AV7" s="133" t="s">
        <v>102</v>
      </c>
      <c r="AW7" s="132" t="s">
        <v>102</v>
      </c>
      <c r="AX7" s="133" t="s">
        <v>102</v>
      </c>
      <c r="AY7" s="132" t="s">
        <v>102</v>
      </c>
      <c r="AZ7" s="133" t="s">
        <v>102</v>
      </c>
      <c r="BA7" s="133" t="s">
        <v>102</v>
      </c>
      <c r="BB7" s="133" t="s">
        <v>102</v>
      </c>
    </row>
    <row r="8" spans="1:55" x14ac:dyDescent="0.2">
      <c r="A8" s="48"/>
      <c r="B8" s="49" t="s">
        <v>3</v>
      </c>
      <c r="C8" s="50"/>
      <c r="D8" s="51"/>
      <c r="E8" s="52"/>
      <c r="F8" s="51"/>
      <c r="G8" s="52"/>
      <c r="H8" s="51"/>
      <c r="I8" s="52"/>
      <c r="J8" s="52"/>
      <c r="K8" s="52"/>
      <c r="L8" s="52"/>
      <c r="M8" s="52"/>
      <c r="N8" s="52"/>
      <c r="O8" s="52"/>
      <c r="P8" s="52"/>
      <c r="Q8" s="53"/>
      <c r="R8" s="52"/>
      <c r="S8" s="52"/>
      <c r="T8" s="52"/>
      <c r="U8" s="53"/>
      <c r="V8" s="52"/>
      <c r="W8" s="53"/>
      <c r="X8" s="52"/>
      <c r="Y8" s="54"/>
      <c r="Z8" s="54"/>
      <c r="AA8" s="55"/>
      <c r="AB8" s="55"/>
      <c r="AC8" s="55"/>
      <c r="AD8" s="55"/>
      <c r="AE8" s="53"/>
      <c r="AF8" s="52"/>
      <c r="AG8" s="51"/>
      <c r="AH8" s="51"/>
      <c r="AI8" s="56"/>
      <c r="AJ8" s="51"/>
      <c r="AK8" s="51"/>
      <c r="AL8" s="51"/>
      <c r="AM8" s="51"/>
      <c r="AN8" s="51"/>
      <c r="AO8" s="51"/>
      <c r="AP8" s="56"/>
      <c r="AQ8" s="52"/>
      <c r="AR8" s="52"/>
      <c r="AS8" s="51"/>
      <c r="AT8" s="56"/>
      <c r="AU8" s="52"/>
      <c r="AV8" s="52"/>
      <c r="AW8" s="51"/>
      <c r="AX8" s="52"/>
      <c r="AY8" s="52"/>
      <c r="AZ8" s="52"/>
      <c r="BA8" s="52"/>
      <c r="BB8" s="152"/>
    </row>
    <row r="9" spans="1:55" x14ac:dyDescent="0.2">
      <c r="A9" s="57"/>
      <c r="B9" s="58"/>
      <c r="C9" s="59"/>
      <c r="D9" s="60"/>
      <c r="E9" s="61"/>
      <c r="F9" s="60"/>
      <c r="G9" s="61"/>
      <c r="H9" s="60"/>
      <c r="I9" s="61"/>
      <c r="J9" s="63"/>
      <c r="K9" s="63"/>
      <c r="L9" s="63"/>
      <c r="M9" s="63"/>
      <c r="N9" s="63"/>
      <c r="O9" s="63"/>
      <c r="P9" s="63"/>
      <c r="Q9" s="62"/>
      <c r="R9" s="61"/>
      <c r="S9" s="63"/>
      <c r="T9" s="63"/>
      <c r="U9" s="62"/>
      <c r="V9" s="61"/>
      <c r="W9" s="62"/>
      <c r="X9" s="61"/>
      <c r="Y9" s="64"/>
      <c r="Z9" s="64"/>
      <c r="AA9" s="65"/>
      <c r="AB9" s="65"/>
      <c r="AC9" s="65"/>
      <c r="AD9" s="65"/>
      <c r="AE9" s="60"/>
      <c r="AF9" s="60"/>
      <c r="AG9" s="66"/>
      <c r="AH9" s="66"/>
      <c r="AI9" s="66"/>
      <c r="AJ9" s="62"/>
      <c r="AK9" s="61"/>
      <c r="AL9" s="62"/>
      <c r="AM9" s="61"/>
      <c r="AN9" s="62"/>
      <c r="AO9" s="61"/>
      <c r="AP9" s="66"/>
      <c r="AQ9" s="62"/>
      <c r="AR9" s="61"/>
      <c r="AS9" s="66"/>
      <c r="AT9" s="66"/>
      <c r="AU9" s="62"/>
      <c r="AV9" s="61"/>
      <c r="AW9" s="60"/>
      <c r="AX9" s="61"/>
      <c r="AY9" s="62"/>
      <c r="AZ9" s="61"/>
      <c r="BA9" s="62"/>
      <c r="BB9" s="61"/>
    </row>
    <row r="10" spans="1:55" x14ac:dyDescent="0.2">
      <c r="A10" s="67"/>
      <c r="B10" s="68" t="s">
        <v>104</v>
      </c>
      <c r="C10" s="69"/>
      <c r="D10" s="70"/>
      <c r="E10" s="71"/>
      <c r="F10" s="72"/>
      <c r="G10" s="71"/>
      <c r="H10" s="72"/>
      <c r="I10" s="71"/>
      <c r="J10" s="74"/>
      <c r="K10" s="74"/>
      <c r="L10" s="74"/>
      <c r="M10" s="74"/>
      <c r="N10" s="74"/>
      <c r="O10" s="74"/>
      <c r="P10" s="74"/>
      <c r="Q10" s="73"/>
      <c r="R10" s="71"/>
      <c r="S10" s="74"/>
      <c r="T10" s="74"/>
      <c r="U10" s="73"/>
      <c r="V10" s="71"/>
      <c r="W10" s="73"/>
      <c r="X10" s="71"/>
      <c r="Y10" s="75"/>
      <c r="Z10" s="75"/>
      <c r="AA10" s="76"/>
      <c r="AB10" s="76"/>
      <c r="AC10" s="76"/>
      <c r="AD10" s="76"/>
      <c r="AE10" s="72"/>
      <c r="AF10" s="71"/>
      <c r="AG10" s="77"/>
      <c r="AH10" s="77"/>
      <c r="AI10" s="77"/>
      <c r="AJ10" s="72"/>
      <c r="AK10" s="71"/>
      <c r="AL10" s="72"/>
      <c r="AM10" s="71"/>
      <c r="AN10" s="72"/>
      <c r="AO10" s="71"/>
      <c r="AP10" s="77"/>
      <c r="AQ10" s="73"/>
      <c r="AR10" s="71"/>
      <c r="AS10" s="77"/>
      <c r="AT10" s="77"/>
      <c r="AU10" s="73"/>
      <c r="AV10" s="71"/>
      <c r="AW10" s="72"/>
      <c r="AX10" s="71"/>
      <c r="AY10" s="73"/>
      <c r="AZ10" s="71"/>
      <c r="BA10" s="73"/>
      <c r="BB10" s="71"/>
    </row>
    <row r="11" spans="1:55" x14ac:dyDescent="0.2">
      <c r="A11" s="78" t="s">
        <v>4</v>
      </c>
      <c r="B11" s="79" t="s">
        <v>23</v>
      </c>
      <c r="C11" s="72">
        <v>15</v>
      </c>
      <c r="D11" s="72">
        <f t="shared" ref="D11:D19" si="0">ROUND(E11*C11,1)</f>
        <v>959.7</v>
      </c>
      <c r="E11" s="80">
        <f>RCF!C$43</f>
        <v>63.983120993999997</v>
      </c>
      <c r="F11" s="81">
        <f t="shared" ref="F11:F29" si="1">ROUNDDOWN((H11/1.039),1)</f>
        <v>380.1</v>
      </c>
      <c r="G11" s="80">
        <f>F11/$C11</f>
        <v>25.34</v>
      </c>
      <c r="H11" s="81">
        <v>395</v>
      </c>
      <c r="I11" s="80">
        <f>H11/$C11</f>
        <v>26.333333333333332</v>
      </c>
      <c r="J11" s="82">
        <f t="shared" ref="J11:P29" si="2">ROUND($C11*$I11*J$6,1)</f>
        <v>434.5</v>
      </c>
      <c r="K11" s="82">
        <f t="shared" si="2"/>
        <v>541.20000000000005</v>
      </c>
      <c r="L11" s="82">
        <f t="shared" si="2"/>
        <v>580.70000000000005</v>
      </c>
      <c r="M11" s="82">
        <f t="shared" si="2"/>
        <v>639.9</v>
      </c>
      <c r="N11" s="82">
        <f t="shared" si="2"/>
        <v>790</v>
      </c>
      <c r="O11" s="82">
        <f t="shared" si="2"/>
        <v>849.3</v>
      </c>
      <c r="P11" s="82">
        <f t="shared" si="2"/>
        <v>1185</v>
      </c>
      <c r="Q11" s="81">
        <v>401.6</v>
      </c>
      <c r="R11" s="80">
        <f>Q11/$C11</f>
        <v>26.773333333333333</v>
      </c>
      <c r="S11" s="82">
        <f>ROUNDDOWN($Q11*S$6,1)</f>
        <v>522</v>
      </c>
      <c r="T11" s="82">
        <f>ROUNDDOWN($Q11*T$6,1)</f>
        <v>602.4</v>
      </c>
      <c r="U11" s="81">
        <v>266.3</v>
      </c>
      <c r="V11" s="80">
        <f>U11/$C11</f>
        <v>17.753333333333334</v>
      </c>
      <c r="W11" s="81">
        <v>283.8</v>
      </c>
      <c r="X11" s="80">
        <f>W11/$C11</f>
        <v>18.920000000000002</v>
      </c>
      <c r="Y11" s="82">
        <f>ROUNDDOWN($W11*Y$6,1)</f>
        <v>312.10000000000002</v>
      </c>
      <c r="Z11" s="82">
        <f t="shared" ref="Z11:AD19" si="3">ROUNDDOWN($W11*Z$6,1)</f>
        <v>388.8</v>
      </c>
      <c r="AA11" s="82">
        <f t="shared" si="3"/>
        <v>459.7</v>
      </c>
      <c r="AB11" s="82">
        <f t="shared" si="3"/>
        <v>417.1</v>
      </c>
      <c r="AC11" s="82">
        <f t="shared" si="3"/>
        <v>615.79999999999995</v>
      </c>
      <c r="AD11" s="82">
        <f t="shared" si="3"/>
        <v>851.4</v>
      </c>
      <c r="AE11" s="72">
        <v>377.8</v>
      </c>
      <c r="AF11" s="80">
        <f>AE11/$C11</f>
        <v>25.186666666666667</v>
      </c>
      <c r="AG11" s="77">
        <f t="shared" ref="AG11:AI29" si="4">ROUND($AE11*AG$6,1)</f>
        <v>623.4</v>
      </c>
      <c r="AH11" s="77">
        <f t="shared" si="4"/>
        <v>793.4</v>
      </c>
      <c r="AI11" s="77">
        <f t="shared" si="4"/>
        <v>1133.4000000000001</v>
      </c>
      <c r="AJ11" s="81">
        <v>389.3</v>
      </c>
      <c r="AK11" s="80">
        <f>AJ11/$C11</f>
        <v>25.953333333333333</v>
      </c>
      <c r="AL11" s="81">
        <v>534.79999999999995</v>
      </c>
      <c r="AM11" s="80">
        <f>AL11/$C11</f>
        <v>35.653333333333329</v>
      </c>
      <c r="AN11" s="81">
        <v>426.7</v>
      </c>
      <c r="AO11" s="71">
        <f>AN11/C11</f>
        <v>28.446666666666665</v>
      </c>
      <c r="AP11" s="77">
        <f>ROUNDDOWN($AN11*AP$6,1)</f>
        <v>640</v>
      </c>
      <c r="AQ11" s="72">
        <v>418.8</v>
      </c>
      <c r="AR11" s="80">
        <f>AQ11/$C11</f>
        <v>27.92</v>
      </c>
      <c r="AS11" s="77">
        <f>ROUNDDOWN($AQ11*AS$6,1)</f>
        <v>544.4</v>
      </c>
      <c r="AT11" s="77">
        <f>ROUNDDOWN($AQ11*AT$6,1)</f>
        <v>607.20000000000005</v>
      </c>
      <c r="AU11" s="72">
        <v>468.7</v>
      </c>
      <c r="AV11" s="80">
        <f>AU11/$C11</f>
        <v>31.246666666666666</v>
      </c>
      <c r="AW11" s="81">
        <v>414.8</v>
      </c>
      <c r="AX11" s="71">
        <f>AW11/C11</f>
        <v>27.653333333333332</v>
      </c>
      <c r="AY11" s="72">
        <v>422.7</v>
      </c>
      <c r="AZ11" s="80">
        <f>AY11/$C11</f>
        <v>28.18</v>
      </c>
      <c r="BA11" s="151">
        <f>ROUNDDOWN(C11*BB11,1)</f>
        <v>403.9</v>
      </c>
      <c r="BB11" s="80">
        <f>RCF!I$41</f>
        <v>26.931999999999999</v>
      </c>
    </row>
    <row r="12" spans="1:55" x14ac:dyDescent="0.2">
      <c r="A12" s="78" t="s">
        <v>5</v>
      </c>
      <c r="B12" s="79" t="s">
        <v>6</v>
      </c>
      <c r="C12" s="72">
        <v>15</v>
      </c>
      <c r="D12" s="72">
        <f t="shared" si="0"/>
        <v>959.7</v>
      </c>
      <c r="E12" s="80">
        <f>RCF!C$43</f>
        <v>63.983120993999997</v>
      </c>
      <c r="F12" s="81">
        <f t="shared" si="1"/>
        <v>380.1</v>
      </c>
      <c r="G12" s="80">
        <f t="shared" ref="G12:I29" si="5">F12/$C12</f>
        <v>25.34</v>
      </c>
      <c r="H12" s="81">
        <v>395</v>
      </c>
      <c r="I12" s="80">
        <f t="shared" si="5"/>
        <v>26.333333333333332</v>
      </c>
      <c r="J12" s="82">
        <f t="shared" si="2"/>
        <v>434.5</v>
      </c>
      <c r="K12" s="82">
        <f t="shared" si="2"/>
        <v>541.20000000000005</v>
      </c>
      <c r="L12" s="82">
        <f t="shared" si="2"/>
        <v>580.70000000000005</v>
      </c>
      <c r="M12" s="82">
        <f t="shared" si="2"/>
        <v>639.9</v>
      </c>
      <c r="N12" s="82">
        <f t="shared" si="2"/>
        <v>790</v>
      </c>
      <c r="O12" s="82">
        <f t="shared" si="2"/>
        <v>849.3</v>
      </c>
      <c r="P12" s="82">
        <f t="shared" si="2"/>
        <v>1185</v>
      </c>
      <c r="Q12" s="81">
        <v>401.6</v>
      </c>
      <c r="R12" s="80">
        <f t="shared" ref="R12" si="6">Q12/$C12</f>
        <v>26.773333333333333</v>
      </c>
      <c r="S12" s="82">
        <f t="shared" ref="S12:T29" si="7">ROUNDDOWN($Q12*S$6,1)</f>
        <v>522</v>
      </c>
      <c r="T12" s="82">
        <f t="shared" si="7"/>
        <v>602.4</v>
      </c>
      <c r="U12" s="81">
        <v>371.7</v>
      </c>
      <c r="V12" s="80">
        <f t="shared" ref="V12" si="8">U12/$C12</f>
        <v>24.779999999999998</v>
      </c>
      <c r="W12" s="81">
        <v>395.8</v>
      </c>
      <c r="X12" s="80">
        <f t="shared" ref="X12" si="9">W12/$C12</f>
        <v>26.386666666666667</v>
      </c>
      <c r="Y12" s="82">
        <f t="shared" ref="Y12:Y28" si="10">ROUNDDOWN($W12*Y$6,1)</f>
        <v>435.3</v>
      </c>
      <c r="Z12" s="82">
        <f t="shared" si="3"/>
        <v>542.20000000000005</v>
      </c>
      <c r="AA12" s="82">
        <f t="shared" si="3"/>
        <v>641.1</v>
      </c>
      <c r="AB12" s="82">
        <f t="shared" si="3"/>
        <v>581.79999999999995</v>
      </c>
      <c r="AC12" s="82">
        <f t="shared" si="3"/>
        <v>858.8</v>
      </c>
      <c r="AD12" s="82">
        <f t="shared" si="3"/>
        <v>1187.4000000000001</v>
      </c>
      <c r="AE12" s="72">
        <v>377.8</v>
      </c>
      <c r="AF12" s="80">
        <f t="shared" ref="AF12" si="11">AE12/$C12</f>
        <v>25.186666666666667</v>
      </c>
      <c r="AG12" s="77">
        <f t="shared" si="4"/>
        <v>623.4</v>
      </c>
      <c r="AH12" s="77">
        <f t="shared" si="4"/>
        <v>793.4</v>
      </c>
      <c r="AI12" s="77">
        <f t="shared" si="4"/>
        <v>1133.4000000000001</v>
      </c>
      <c r="AJ12" s="81">
        <v>609</v>
      </c>
      <c r="AK12" s="80">
        <f t="shared" ref="AK12" si="12">AJ12/$C12</f>
        <v>40.6</v>
      </c>
      <c r="AL12" s="81">
        <v>0</v>
      </c>
      <c r="AM12" s="80">
        <f t="shared" ref="AM12" si="13">AL12/$C12</f>
        <v>0</v>
      </c>
      <c r="AN12" s="81">
        <v>426.7</v>
      </c>
      <c r="AO12" s="71">
        <f t="shared" ref="AO12:AO29" si="14">AN12/C12</f>
        <v>28.446666666666665</v>
      </c>
      <c r="AP12" s="77">
        <f t="shared" ref="AP12:AP29" si="15">ROUNDDOWN($AN12*AP$6,1)</f>
        <v>640</v>
      </c>
      <c r="AQ12" s="72">
        <v>418.8</v>
      </c>
      <c r="AR12" s="80">
        <f t="shared" ref="AR12" si="16">AQ12/$C12</f>
        <v>27.92</v>
      </c>
      <c r="AS12" s="77">
        <f t="shared" ref="AS12:AT29" si="17">ROUNDDOWN($AQ12*AS$6,1)</f>
        <v>544.4</v>
      </c>
      <c r="AT12" s="77">
        <f t="shared" si="17"/>
        <v>607.20000000000005</v>
      </c>
      <c r="AU12" s="72">
        <v>468.7</v>
      </c>
      <c r="AV12" s="80">
        <f t="shared" ref="AV12" si="18">AU12/$C12</f>
        <v>31.246666666666666</v>
      </c>
      <c r="AW12" s="81">
        <v>414.8</v>
      </c>
      <c r="AX12" s="71">
        <f t="shared" ref="AX12:AX29" si="19">AW12/C12</f>
        <v>27.653333333333332</v>
      </c>
      <c r="AY12" s="72">
        <v>422.7</v>
      </c>
      <c r="AZ12" s="80">
        <f t="shared" ref="AZ12" si="20">AY12/$C12</f>
        <v>28.18</v>
      </c>
      <c r="BA12" s="151">
        <f t="shared" ref="BA12:BA18" si="21">ROUNDDOWN(C12*BB12,1)</f>
        <v>403.9</v>
      </c>
      <c r="BB12" s="80">
        <f>RCF!I$41</f>
        <v>26.931999999999999</v>
      </c>
    </row>
    <row r="13" spans="1:55" x14ac:dyDescent="0.2">
      <c r="A13" s="227" t="s">
        <v>240</v>
      </c>
      <c r="B13" s="228" t="s">
        <v>241</v>
      </c>
      <c r="C13" s="229">
        <v>12</v>
      </c>
      <c r="D13" s="72">
        <f t="shared" ref="D13" si="22">ROUND(E13*C13,1)</f>
        <v>767.8</v>
      </c>
      <c r="E13" s="80">
        <f>RCF!C$43</f>
        <v>63.983120993999997</v>
      </c>
      <c r="F13" s="81">
        <f t="shared" si="1"/>
        <v>215.3</v>
      </c>
      <c r="G13" s="80">
        <f t="shared" ref="G13" si="23">F13/$C13</f>
        <v>17.941666666666666</v>
      </c>
      <c r="H13" s="81">
        <v>223.8</v>
      </c>
      <c r="I13" s="80">
        <f t="shared" ref="I13" si="24">H13/$C13</f>
        <v>18.650000000000002</v>
      </c>
      <c r="J13" s="82">
        <f t="shared" si="2"/>
        <v>246.2</v>
      </c>
      <c r="K13" s="82">
        <f t="shared" si="2"/>
        <v>306.60000000000002</v>
      </c>
      <c r="L13" s="82">
        <f t="shared" si="2"/>
        <v>329</v>
      </c>
      <c r="M13" s="82">
        <f t="shared" si="2"/>
        <v>362.6</v>
      </c>
      <c r="N13" s="82">
        <f t="shared" si="2"/>
        <v>447.6</v>
      </c>
      <c r="O13" s="82">
        <f t="shared" si="2"/>
        <v>481.2</v>
      </c>
      <c r="P13" s="82">
        <f t="shared" si="2"/>
        <v>671.4</v>
      </c>
      <c r="Q13" s="81">
        <v>321.39999999999998</v>
      </c>
      <c r="R13" s="80">
        <f t="shared" ref="R13" si="25">Q13/$C13</f>
        <v>26.783333333333331</v>
      </c>
      <c r="S13" s="82">
        <f t="shared" si="7"/>
        <v>417.8</v>
      </c>
      <c r="T13" s="82">
        <f t="shared" si="7"/>
        <v>482.1</v>
      </c>
      <c r="U13" s="81">
        <v>237.3</v>
      </c>
      <c r="V13" s="80">
        <f t="shared" ref="V13" si="26">U13/$C13</f>
        <v>19.775000000000002</v>
      </c>
      <c r="W13" s="81">
        <v>252.8</v>
      </c>
      <c r="X13" s="80">
        <f t="shared" ref="X13" si="27">W13/$C13</f>
        <v>21.066666666666666</v>
      </c>
      <c r="Y13" s="82">
        <f t="shared" si="10"/>
        <v>278</v>
      </c>
      <c r="Z13" s="82">
        <f t="shared" si="3"/>
        <v>346.3</v>
      </c>
      <c r="AA13" s="82">
        <f t="shared" si="3"/>
        <v>409.5</v>
      </c>
      <c r="AB13" s="82">
        <f t="shared" si="3"/>
        <v>371.6</v>
      </c>
      <c r="AC13" s="82">
        <f t="shared" si="3"/>
        <v>548.5</v>
      </c>
      <c r="AD13" s="82">
        <f t="shared" si="3"/>
        <v>758.4</v>
      </c>
      <c r="AE13" s="72">
        <v>302.5</v>
      </c>
      <c r="AF13" s="80">
        <f t="shared" ref="AF13" si="28">AE13/$C13</f>
        <v>25.208333333333332</v>
      </c>
      <c r="AG13" s="77">
        <f t="shared" si="4"/>
        <v>499.1</v>
      </c>
      <c r="AH13" s="77">
        <f t="shared" si="4"/>
        <v>635.29999999999995</v>
      </c>
      <c r="AI13" s="77">
        <f t="shared" si="4"/>
        <v>907.5</v>
      </c>
      <c r="AJ13" s="81">
        <v>609</v>
      </c>
      <c r="AK13" s="80">
        <f t="shared" ref="AK13" si="29">AJ13/$C13</f>
        <v>50.75</v>
      </c>
      <c r="AL13" s="81">
        <v>417.2</v>
      </c>
      <c r="AM13" s="80">
        <f t="shared" ref="AM13" si="30">AL13/$C13</f>
        <v>34.766666666666666</v>
      </c>
      <c r="AN13" s="81">
        <v>342.1</v>
      </c>
      <c r="AO13" s="71">
        <f t="shared" si="14"/>
        <v>28.508333333333336</v>
      </c>
      <c r="AP13" s="77">
        <f t="shared" si="15"/>
        <v>513.1</v>
      </c>
      <c r="AQ13" s="72">
        <v>335.6</v>
      </c>
      <c r="AR13" s="80">
        <f t="shared" ref="AR13" si="31">AQ13/$C13</f>
        <v>27.966666666666669</v>
      </c>
      <c r="AS13" s="77">
        <f t="shared" si="17"/>
        <v>436.2</v>
      </c>
      <c r="AT13" s="77">
        <f t="shared" si="17"/>
        <v>486.6</v>
      </c>
      <c r="AU13" s="72">
        <v>375</v>
      </c>
      <c r="AV13" s="80">
        <f t="shared" ref="AV13" si="32">AU13/$C13</f>
        <v>31.25</v>
      </c>
      <c r="AW13" s="81">
        <v>0</v>
      </c>
      <c r="AX13" s="71">
        <f t="shared" si="19"/>
        <v>0</v>
      </c>
      <c r="AY13" s="72">
        <v>338.2</v>
      </c>
      <c r="AZ13" s="80">
        <f t="shared" ref="AZ13" si="33">AY13/$C13</f>
        <v>28.183333333333334</v>
      </c>
      <c r="BA13" s="151">
        <f t="shared" ref="BA13" si="34">ROUNDDOWN(C13*BB13,1)</f>
        <v>323.10000000000002</v>
      </c>
      <c r="BB13" s="80">
        <f>RCF!I$41</f>
        <v>26.931999999999999</v>
      </c>
    </row>
    <row r="14" spans="1:55" x14ac:dyDescent="0.2">
      <c r="A14" s="78" t="s">
        <v>7</v>
      </c>
      <c r="B14" s="230" t="s">
        <v>8</v>
      </c>
      <c r="C14" s="229">
        <v>5</v>
      </c>
      <c r="D14" s="72">
        <f t="shared" si="0"/>
        <v>319.89999999999998</v>
      </c>
      <c r="E14" s="80">
        <f>RCF!C$43</f>
        <v>63.983120993999997</v>
      </c>
      <c r="F14" s="81">
        <f t="shared" si="1"/>
        <v>126.6</v>
      </c>
      <c r="G14" s="80">
        <f t="shared" si="5"/>
        <v>25.32</v>
      </c>
      <c r="H14" s="81">
        <v>131.58000000000001</v>
      </c>
      <c r="I14" s="80">
        <f t="shared" si="5"/>
        <v>26.316000000000003</v>
      </c>
      <c r="J14" s="82">
        <f t="shared" si="2"/>
        <v>144.69999999999999</v>
      </c>
      <c r="K14" s="82">
        <f t="shared" si="2"/>
        <v>180.3</v>
      </c>
      <c r="L14" s="82">
        <f t="shared" si="2"/>
        <v>193.4</v>
      </c>
      <c r="M14" s="82">
        <f t="shared" si="2"/>
        <v>213.2</v>
      </c>
      <c r="N14" s="82">
        <f t="shared" si="2"/>
        <v>263.2</v>
      </c>
      <c r="O14" s="82">
        <f t="shared" si="2"/>
        <v>282.89999999999998</v>
      </c>
      <c r="P14" s="82">
        <f t="shared" si="2"/>
        <v>394.7</v>
      </c>
      <c r="Q14" s="81">
        <v>134.19999999999999</v>
      </c>
      <c r="R14" s="80">
        <f t="shared" ref="R14" si="35">Q14/$C14</f>
        <v>26.839999999999996</v>
      </c>
      <c r="S14" s="82">
        <f t="shared" si="7"/>
        <v>174.4</v>
      </c>
      <c r="T14" s="82">
        <f t="shared" si="7"/>
        <v>201.3</v>
      </c>
      <c r="U14" s="81">
        <v>123.8</v>
      </c>
      <c r="V14" s="80">
        <f t="shared" ref="V14" si="36">U14/$C14</f>
        <v>24.759999999999998</v>
      </c>
      <c r="W14" s="81">
        <v>131.69999999999999</v>
      </c>
      <c r="X14" s="80">
        <f t="shared" ref="X14" si="37">W14/$C14</f>
        <v>26.339999999999996</v>
      </c>
      <c r="Y14" s="82">
        <f t="shared" si="10"/>
        <v>144.80000000000001</v>
      </c>
      <c r="Z14" s="82">
        <f t="shared" si="3"/>
        <v>180.4</v>
      </c>
      <c r="AA14" s="82">
        <f t="shared" si="3"/>
        <v>213.3</v>
      </c>
      <c r="AB14" s="82">
        <f t="shared" si="3"/>
        <v>193.5</v>
      </c>
      <c r="AC14" s="82">
        <f t="shared" si="3"/>
        <v>285.7</v>
      </c>
      <c r="AD14" s="82">
        <f t="shared" si="3"/>
        <v>395.1</v>
      </c>
      <c r="AE14" s="72">
        <v>126.3</v>
      </c>
      <c r="AF14" s="80">
        <f t="shared" ref="AF14" si="38">AE14/$C14</f>
        <v>25.259999999999998</v>
      </c>
      <c r="AG14" s="77">
        <f t="shared" si="4"/>
        <v>208.4</v>
      </c>
      <c r="AH14" s="77">
        <f t="shared" si="4"/>
        <v>265.2</v>
      </c>
      <c r="AI14" s="77">
        <f t="shared" si="4"/>
        <v>378.9</v>
      </c>
      <c r="AJ14" s="81">
        <v>0</v>
      </c>
      <c r="AK14" s="80">
        <f t="shared" ref="AK14" si="39">AJ14/$C14</f>
        <v>0</v>
      </c>
      <c r="AL14" s="81">
        <v>178.4</v>
      </c>
      <c r="AM14" s="80">
        <f t="shared" ref="AM14" si="40">AL14/$C14</f>
        <v>35.68</v>
      </c>
      <c r="AN14" s="81">
        <v>142.6</v>
      </c>
      <c r="AO14" s="71">
        <f t="shared" si="14"/>
        <v>28.52</v>
      </c>
      <c r="AP14" s="77">
        <f t="shared" si="15"/>
        <v>213.9</v>
      </c>
      <c r="AQ14" s="72">
        <v>139.6</v>
      </c>
      <c r="AR14" s="80">
        <f t="shared" ref="AR14" si="41">AQ14/$C14</f>
        <v>27.919999999999998</v>
      </c>
      <c r="AS14" s="77">
        <f t="shared" si="17"/>
        <v>181.4</v>
      </c>
      <c r="AT14" s="77">
        <f t="shared" si="17"/>
        <v>202.4</v>
      </c>
      <c r="AU14" s="72">
        <v>156.19999999999999</v>
      </c>
      <c r="AV14" s="80">
        <f t="shared" ref="AV14" si="42">AU14/$C14</f>
        <v>31.24</v>
      </c>
      <c r="AW14" s="81">
        <v>138.27000000000001</v>
      </c>
      <c r="AX14" s="71">
        <f t="shared" si="19"/>
        <v>27.654000000000003</v>
      </c>
      <c r="AY14" s="72">
        <v>140.9</v>
      </c>
      <c r="AZ14" s="80">
        <f t="shared" ref="AZ14" si="43">AY14/$C14</f>
        <v>28.18</v>
      </c>
      <c r="BA14" s="151">
        <f t="shared" si="21"/>
        <v>134.6</v>
      </c>
      <c r="BB14" s="80">
        <f>RCF!I$41</f>
        <v>26.931999999999999</v>
      </c>
    </row>
    <row r="15" spans="1:55" x14ac:dyDescent="0.2">
      <c r="A15" s="78" t="s">
        <v>242</v>
      </c>
      <c r="B15" s="79" t="s">
        <v>243</v>
      </c>
      <c r="C15" s="229">
        <v>9</v>
      </c>
      <c r="D15" s="72">
        <f t="shared" ref="D15" si="44">ROUND(E15*C15,1)</f>
        <v>575.79999999999995</v>
      </c>
      <c r="E15" s="80">
        <f>RCF!C$43</f>
        <v>63.983120993999997</v>
      </c>
      <c r="F15" s="81">
        <f t="shared" si="1"/>
        <v>228.1</v>
      </c>
      <c r="G15" s="80">
        <f t="shared" ref="G15:G16" si="45">F15/$C15</f>
        <v>25.344444444444445</v>
      </c>
      <c r="H15" s="81">
        <v>237</v>
      </c>
      <c r="I15" s="80">
        <f t="shared" ref="I15" si="46">H15/$C15</f>
        <v>26.333333333333332</v>
      </c>
      <c r="J15" s="82">
        <f t="shared" si="2"/>
        <v>260.7</v>
      </c>
      <c r="K15" s="82">
        <f t="shared" si="2"/>
        <v>324.7</v>
      </c>
      <c r="L15" s="82">
        <f t="shared" si="2"/>
        <v>348.4</v>
      </c>
      <c r="M15" s="82">
        <f t="shared" si="2"/>
        <v>383.9</v>
      </c>
      <c r="N15" s="82">
        <f t="shared" si="2"/>
        <v>474</v>
      </c>
      <c r="O15" s="82">
        <f t="shared" si="2"/>
        <v>509.6</v>
      </c>
      <c r="P15" s="82">
        <f t="shared" si="2"/>
        <v>711</v>
      </c>
      <c r="Q15" s="81">
        <v>240.9</v>
      </c>
      <c r="R15" s="80">
        <f t="shared" ref="R15" si="47">Q15/$C15</f>
        <v>26.766666666666666</v>
      </c>
      <c r="S15" s="82">
        <f t="shared" si="7"/>
        <v>313.10000000000002</v>
      </c>
      <c r="T15" s="82">
        <f t="shared" si="7"/>
        <v>361.3</v>
      </c>
      <c r="U15" s="81">
        <v>222.8</v>
      </c>
      <c r="V15" s="80">
        <f t="shared" ref="V15" si="48">U15/$C15</f>
        <v>24.755555555555556</v>
      </c>
      <c r="W15" s="81">
        <v>237.1</v>
      </c>
      <c r="X15" s="80">
        <f t="shared" ref="X15" si="49">W15/$C15</f>
        <v>26.344444444444445</v>
      </c>
      <c r="Y15" s="82">
        <f t="shared" si="10"/>
        <v>260.8</v>
      </c>
      <c r="Z15" s="82">
        <f t="shared" si="3"/>
        <v>324.8</v>
      </c>
      <c r="AA15" s="82">
        <f t="shared" si="3"/>
        <v>384.1</v>
      </c>
      <c r="AB15" s="82">
        <f t="shared" si="3"/>
        <v>348.5</v>
      </c>
      <c r="AC15" s="82">
        <f t="shared" si="3"/>
        <v>514.5</v>
      </c>
      <c r="AD15" s="82">
        <f t="shared" si="3"/>
        <v>711.3</v>
      </c>
      <c r="AE15" s="72">
        <v>226.6</v>
      </c>
      <c r="AF15" s="80">
        <f t="shared" ref="AF15" si="50">AE15/$C15</f>
        <v>25.177777777777777</v>
      </c>
      <c r="AG15" s="77">
        <f t="shared" si="4"/>
        <v>373.9</v>
      </c>
      <c r="AH15" s="77">
        <f t="shared" si="4"/>
        <v>475.9</v>
      </c>
      <c r="AI15" s="77">
        <f t="shared" si="4"/>
        <v>679.8</v>
      </c>
      <c r="AJ15" s="81">
        <v>159</v>
      </c>
      <c r="AK15" s="80">
        <f t="shared" ref="AK15" si="51">AJ15/$C15</f>
        <v>17.666666666666668</v>
      </c>
      <c r="AL15" s="81">
        <v>320.89999999999998</v>
      </c>
      <c r="AM15" s="80">
        <f t="shared" ref="AM15" si="52">AL15/$C15</f>
        <v>35.655555555555551</v>
      </c>
      <c r="AN15" s="81">
        <v>256.2</v>
      </c>
      <c r="AO15" s="71">
        <f t="shared" si="14"/>
        <v>28.466666666666665</v>
      </c>
      <c r="AP15" s="77">
        <f t="shared" si="15"/>
        <v>384.3</v>
      </c>
      <c r="AQ15" s="72">
        <v>251.5</v>
      </c>
      <c r="AR15" s="80">
        <f t="shared" ref="AR15" si="53">AQ15/$C15</f>
        <v>27.944444444444443</v>
      </c>
      <c r="AS15" s="77">
        <f t="shared" si="17"/>
        <v>326.89999999999998</v>
      </c>
      <c r="AT15" s="77">
        <f t="shared" si="17"/>
        <v>364.6</v>
      </c>
      <c r="AU15" s="72">
        <v>281.5</v>
      </c>
      <c r="AV15" s="80">
        <f t="shared" ref="AV15" si="54">AU15/$C15</f>
        <v>31.277777777777779</v>
      </c>
      <c r="AW15" s="81">
        <v>248.88</v>
      </c>
      <c r="AX15" s="71">
        <f t="shared" si="19"/>
        <v>27.653333333333332</v>
      </c>
      <c r="AY15" s="72">
        <v>253.6</v>
      </c>
      <c r="AZ15" s="80">
        <f t="shared" ref="AZ15" si="55">AY15/$C15</f>
        <v>28.177777777777777</v>
      </c>
      <c r="BA15" s="151">
        <f t="shared" ref="BA15" si="56">ROUNDDOWN(C15*BB15,1)</f>
        <v>242.3</v>
      </c>
      <c r="BB15" s="80">
        <f>RCF!I$41</f>
        <v>26.931999999999999</v>
      </c>
    </row>
    <row r="16" spans="1:55" x14ac:dyDescent="0.2">
      <c r="A16" s="209" t="s">
        <v>244</v>
      </c>
      <c r="B16" s="231" t="s">
        <v>245</v>
      </c>
      <c r="C16" s="232">
        <v>8</v>
      </c>
      <c r="D16" s="72">
        <f t="shared" ref="D16" si="57">ROUND(E16*C16,1)</f>
        <v>511.9</v>
      </c>
      <c r="E16" s="80">
        <f>RCF!C$43</f>
        <v>63.983120993999997</v>
      </c>
      <c r="F16" s="155">
        <f t="shared" si="1"/>
        <v>0</v>
      </c>
      <c r="G16" s="80">
        <f t="shared" si="45"/>
        <v>0</v>
      </c>
      <c r="H16" s="81">
        <v>0</v>
      </c>
      <c r="I16" s="80">
        <f t="shared" ref="I16" si="58">H16/$C16</f>
        <v>0</v>
      </c>
      <c r="J16" s="82">
        <f t="shared" si="2"/>
        <v>0</v>
      </c>
      <c r="K16" s="82">
        <f t="shared" si="2"/>
        <v>0</v>
      </c>
      <c r="L16" s="82">
        <f t="shared" si="2"/>
        <v>0</v>
      </c>
      <c r="M16" s="82">
        <f t="shared" si="2"/>
        <v>0</v>
      </c>
      <c r="N16" s="82">
        <f t="shared" si="2"/>
        <v>0</v>
      </c>
      <c r="O16" s="82">
        <f t="shared" si="2"/>
        <v>0</v>
      </c>
      <c r="P16" s="82">
        <f t="shared" si="2"/>
        <v>0</v>
      </c>
      <c r="Q16" s="81">
        <v>0</v>
      </c>
      <c r="R16" s="80">
        <f t="shared" ref="R16" si="59">Q16/$C16</f>
        <v>0</v>
      </c>
      <c r="S16" s="82">
        <f t="shared" si="7"/>
        <v>0</v>
      </c>
      <c r="T16" s="82">
        <f t="shared" si="7"/>
        <v>0</v>
      </c>
      <c r="U16" s="155">
        <f>U18</f>
        <v>198.4</v>
      </c>
      <c r="V16" s="80">
        <f t="shared" ref="V16" si="60">U16/$C16</f>
        <v>24.8</v>
      </c>
      <c r="W16" s="155">
        <f>W18</f>
        <v>211.2</v>
      </c>
      <c r="X16" s="80">
        <f t="shared" ref="X16" si="61">W16/$C16</f>
        <v>26.4</v>
      </c>
      <c r="Y16" s="82">
        <f t="shared" si="10"/>
        <v>232.3</v>
      </c>
      <c r="Z16" s="82">
        <f t="shared" si="3"/>
        <v>289.3</v>
      </c>
      <c r="AA16" s="82">
        <f t="shared" si="3"/>
        <v>342.1</v>
      </c>
      <c r="AB16" s="82">
        <f t="shared" si="3"/>
        <v>310.39999999999998</v>
      </c>
      <c r="AC16" s="82">
        <f t="shared" si="3"/>
        <v>458.3</v>
      </c>
      <c r="AD16" s="82">
        <f t="shared" si="3"/>
        <v>633.6</v>
      </c>
      <c r="AE16" s="153">
        <f>AE18</f>
        <v>201.2</v>
      </c>
      <c r="AF16" s="154">
        <f t="shared" ref="AF16" si="62">AE16/$C16</f>
        <v>25.15</v>
      </c>
      <c r="AG16" s="157">
        <f t="shared" si="4"/>
        <v>332</v>
      </c>
      <c r="AH16" s="157">
        <f t="shared" si="4"/>
        <v>422.5</v>
      </c>
      <c r="AI16" s="157">
        <f t="shared" si="4"/>
        <v>603.6</v>
      </c>
      <c r="AJ16" s="155">
        <v>0</v>
      </c>
      <c r="AK16" s="154">
        <f t="shared" ref="AK16" si="63">AJ16/$C16</f>
        <v>0</v>
      </c>
      <c r="AL16" s="155">
        <v>630.5</v>
      </c>
      <c r="AM16" s="154">
        <f t="shared" ref="AM16" si="64">AL16/$C16</f>
        <v>78.8125</v>
      </c>
      <c r="AN16" s="81">
        <v>0</v>
      </c>
      <c r="AO16" s="71">
        <f t="shared" si="14"/>
        <v>0</v>
      </c>
      <c r="AP16" s="77">
        <f t="shared" si="15"/>
        <v>0</v>
      </c>
      <c r="AQ16" s="153">
        <f t="shared" ref="AQ16" si="65">ROUNDDOWN(C16*AR16,1)</f>
        <v>223.3</v>
      </c>
      <c r="AR16" s="154">
        <f t="shared" ref="AR16:AR19" si="66">AR$11</f>
        <v>27.92</v>
      </c>
      <c r="AS16" s="77">
        <f t="shared" si="17"/>
        <v>290.2</v>
      </c>
      <c r="AT16" s="77">
        <f t="shared" si="17"/>
        <v>323.7</v>
      </c>
      <c r="AU16" s="72">
        <v>249.8</v>
      </c>
      <c r="AV16" s="80">
        <f t="shared" ref="AV16" si="67">AU16/$C16</f>
        <v>31.225000000000001</v>
      </c>
      <c r="AW16" s="81">
        <v>0</v>
      </c>
      <c r="AX16" s="71">
        <f t="shared" si="19"/>
        <v>0</v>
      </c>
      <c r="AY16" s="153">
        <v>0</v>
      </c>
      <c r="AZ16" s="154">
        <f t="shared" ref="AZ16" si="68">AY16/$C16</f>
        <v>0</v>
      </c>
      <c r="BA16" s="151">
        <f t="shared" ref="BA16" si="69">ROUNDDOWN(C16*BB16,1)</f>
        <v>215.4</v>
      </c>
      <c r="BB16" s="80">
        <f>RCF!I$41</f>
        <v>26.931999999999999</v>
      </c>
    </row>
    <row r="17" spans="1:54" x14ac:dyDescent="0.2">
      <c r="A17" s="78" t="s">
        <v>9</v>
      </c>
      <c r="B17" s="99" t="s">
        <v>10</v>
      </c>
      <c r="C17" s="229">
        <v>6</v>
      </c>
      <c r="D17" s="72">
        <f t="shared" si="0"/>
        <v>383.9</v>
      </c>
      <c r="E17" s="80">
        <f>RCF!C$43</f>
        <v>63.983120993999997</v>
      </c>
      <c r="F17" s="81">
        <f t="shared" si="1"/>
        <v>152</v>
      </c>
      <c r="G17" s="80">
        <f t="shared" si="5"/>
        <v>25.333333333333332</v>
      </c>
      <c r="H17" s="81">
        <v>158</v>
      </c>
      <c r="I17" s="80">
        <f t="shared" si="5"/>
        <v>26.333333333333332</v>
      </c>
      <c r="J17" s="82">
        <f t="shared" si="2"/>
        <v>173.8</v>
      </c>
      <c r="K17" s="82">
        <f t="shared" si="2"/>
        <v>216.5</v>
      </c>
      <c r="L17" s="82">
        <f t="shared" si="2"/>
        <v>232.3</v>
      </c>
      <c r="M17" s="82">
        <f t="shared" si="2"/>
        <v>256</v>
      </c>
      <c r="N17" s="82">
        <f t="shared" si="2"/>
        <v>316</v>
      </c>
      <c r="O17" s="82">
        <f t="shared" si="2"/>
        <v>339.7</v>
      </c>
      <c r="P17" s="82">
        <f t="shared" si="2"/>
        <v>474</v>
      </c>
      <c r="Q17" s="151">
        <f>ROUNDDOWN(R17*C17,1)</f>
        <v>160.6</v>
      </c>
      <c r="R17" s="80">
        <f>R11</f>
        <v>26.773333333333333</v>
      </c>
      <c r="S17" s="82">
        <f t="shared" si="7"/>
        <v>208.7</v>
      </c>
      <c r="T17" s="82">
        <f t="shared" si="7"/>
        <v>240.9</v>
      </c>
      <c r="U17" s="81">
        <v>148.80000000000001</v>
      </c>
      <c r="V17" s="80">
        <f t="shared" ref="V17" si="70">U17/$C17</f>
        <v>24.8</v>
      </c>
      <c r="W17" s="81">
        <v>158.5</v>
      </c>
      <c r="X17" s="80">
        <f t="shared" ref="X17" si="71">W17/$C17</f>
        <v>26.416666666666668</v>
      </c>
      <c r="Y17" s="82">
        <f t="shared" si="10"/>
        <v>174.3</v>
      </c>
      <c r="Z17" s="82">
        <f t="shared" si="3"/>
        <v>217.1</v>
      </c>
      <c r="AA17" s="82">
        <f t="shared" si="3"/>
        <v>256.7</v>
      </c>
      <c r="AB17" s="82">
        <f t="shared" si="3"/>
        <v>232.9</v>
      </c>
      <c r="AC17" s="82">
        <f t="shared" si="3"/>
        <v>343.9</v>
      </c>
      <c r="AD17" s="82">
        <f t="shared" si="3"/>
        <v>475.5</v>
      </c>
      <c r="AE17" s="81">
        <v>151.30000000000001</v>
      </c>
      <c r="AF17" s="80">
        <f t="shared" ref="AF17" si="72">AE17/$C17</f>
        <v>25.216666666666669</v>
      </c>
      <c r="AG17" s="77">
        <f t="shared" si="4"/>
        <v>249.6</v>
      </c>
      <c r="AH17" s="77">
        <f t="shared" si="4"/>
        <v>317.7</v>
      </c>
      <c r="AI17" s="77">
        <f t="shared" si="4"/>
        <v>453.9</v>
      </c>
      <c r="AJ17" s="81">
        <v>109.8</v>
      </c>
      <c r="AK17" s="80">
        <f t="shared" ref="AK17" si="73">AJ17/$C17</f>
        <v>18.3</v>
      </c>
      <c r="AL17" s="81">
        <v>213.9</v>
      </c>
      <c r="AM17" s="80">
        <f t="shared" ref="AM17" si="74">AL17/$C17</f>
        <v>35.65</v>
      </c>
      <c r="AN17" s="81">
        <v>171</v>
      </c>
      <c r="AO17" s="71">
        <f t="shared" si="14"/>
        <v>28.5</v>
      </c>
      <c r="AP17" s="77">
        <f t="shared" si="15"/>
        <v>256.5</v>
      </c>
      <c r="AQ17" s="151">
        <f>ROUNDDOWN(C17*AR17,1)</f>
        <v>167.5</v>
      </c>
      <c r="AR17" s="234">
        <f t="shared" si="66"/>
        <v>27.92</v>
      </c>
      <c r="AS17" s="77">
        <f t="shared" si="17"/>
        <v>217.7</v>
      </c>
      <c r="AT17" s="77">
        <f t="shared" si="17"/>
        <v>242.8</v>
      </c>
      <c r="AU17" s="72">
        <v>187.5</v>
      </c>
      <c r="AV17" s="80">
        <f t="shared" ref="AV17" si="75">AU17/$C17</f>
        <v>31.25</v>
      </c>
      <c r="AW17" s="81">
        <v>165.92</v>
      </c>
      <c r="AX17" s="71">
        <f t="shared" si="19"/>
        <v>27.653333333333332</v>
      </c>
      <c r="AY17" s="72">
        <v>169.09</v>
      </c>
      <c r="AZ17" s="80">
        <f t="shared" ref="AZ17" si="76">AY17/$C17</f>
        <v>28.181666666666668</v>
      </c>
      <c r="BA17" s="151">
        <f t="shared" si="21"/>
        <v>161.5</v>
      </c>
      <c r="BB17" s="80">
        <f>RCF!I$41</f>
        <v>26.931999999999999</v>
      </c>
    </row>
    <row r="18" spans="1:54" x14ac:dyDescent="0.2">
      <c r="A18" s="78" t="s">
        <v>11</v>
      </c>
      <c r="B18" s="99" t="s">
        <v>246</v>
      </c>
      <c r="C18" s="229">
        <v>8</v>
      </c>
      <c r="D18" s="72">
        <f t="shared" si="0"/>
        <v>511.9</v>
      </c>
      <c r="E18" s="80">
        <f>RCF!C$43</f>
        <v>63.983120993999997</v>
      </c>
      <c r="F18" s="81">
        <f t="shared" si="1"/>
        <v>202.5</v>
      </c>
      <c r="G18" s="80">
        <f t="shared" si="5"/>
        <v>25.3125</v>
      </c>
      <c r="H18" s="81">
        <v>210.5</v>
      </c>
      <c r="I18" s="80">
        <f t="shared" si="5"/>
        <v>26.3125</v>
      </c>
      <c r="J18" s="82">
        <f t="shared" si="2"/>
        <v>231.6</v>
      </c>
      <c r="K18" s="82">
        <f t="shared" si="2"/>
        <v>288.39999999999998</v>
      </c>
      <c r="L18" s="82">
        <f t="shared" si="2"/>
        <v>309.39999999999998</v>
      </c>
      <c r="M18" s="82">
        <f t="shared" si="2"/>
        <v>341</v>
      </c>
      <c r="N18" s="82">
        <f t="shared" si="2"/>
        <v>421</v>
      </c>
      <c r="O18" s="82">
        <f t="shared" si="2"/>
        <v>452.6</v>
      </c>
      <c r="P18" s="82">
        <f t="shared" si="2"/>
        <v>631.5</v>
      </c>
      <c r="Q18" s="151">
        <f t="shared" ref="Q18:Q19" si="77">ROUNDDOWN(R18*C18,1)</f>
        <v>214.1</v>
      </c>
      <c r="R18" s="80">
        <f>R17</f>
        <v>26.773333333333333</v>
      </c>
      <c r="S18" s="82">
        <f t="shared" si="7"/>
        <v>278.3</v>
      </c>
      <c r="T18" s="82">
        <f t="shared" si="7"/>
        <v>321.10000000000002</v>
      </c>
      <c r="U18" s="81">
        <v>198.4</v>
      </c>
      <c r="V18" s="80">
        <f t="shared" ref="V18" si="78">U18/$C18</f>
        <v>24.8</v>
      </c>
      <c r="W18" s="81">
        <v>211.2</v>
      </c>
      <c r="X18" s="80">
        <f t="shared" ref="X18" si="79">W18/$C18</f>
        <v>26.4</v>
      </c>
      <c r="Y18" s="82">
        <f t="shared" si="10"/>
        <v>232.3</v>
      </c>
      <c r="Z18" s="82">
        <v>0</v>
      </c>
      <c r="AA18" s="82">
        <f t="shared" si="3"/>
        <v>342.1</v>
      </c>
      <c r="AB18" s="82">
        <f t="shared" si="3"/>
        <v>310.39999999999998</v>
      </c>
      <c r="AC18" s="82">
        <f t="shared" si="3"/>
        <v>458.3</v>
      </c>
      <c r="AD18" s="82">
        <f t="shared" si="3"/>
        <v>633.6</v>
      </c>
      <c r="AE18" s="81">
        <v>201.2</v>
      </c>
      <c r="AF18" s="80">
        <f t="shared" ref="AF18" si="80">AE18/$C18</f>
        <v>25.15</v>
      </c>
      <c r="AG18" s="77">
        <f t="shared" si="4"/>
        <v>332</v>
      </c>
      <c r="AH18" s="77">
        <f t="shared" si="4"/>
        <v>422.5</v>
      </c>
      <c r="AI18" s="77">
        <f t="shared" si="4"/>
        <v>603.6</v>
      </c>
      <c r="AJ18" s="81">
        <v>468.5</v>
      </c>
      <c r="AK18" s="80">
        <f t="shared" ref="AK18" si="81">AJ18/$C18</f>
        <v>58.5625</v>
      </c>
      <c r="AL18" s="81">
        <v>285.5</v>
      </c>
      <c r="AM18" s="80">
        <f t="shared" ref="AM18" si="82">AL18/$C18</f>
        <v>35.6875</v>
      </c>
      <c r="AN18" s="81">
        <v>228.1</v>
      </c>
      <c r="AO18" s="71">
        <f t="shared" si="14"/>
        <v>28.512499999999999</v>
      </c>
      <c r="AP18" s="77">
        <f t="shared" si="15"/>
        <v>342.1</v>
      </c>
      <c r="AQ18" s="151">
        <f>ROUNDDOWN(C18*AR18,1)</f>
        <v>223.3</v>
      </c>
      <c r="AR18" s="234">
        <f t="shared" si="66"/>
        <v>27.92</v>
      </c>
      <c r="AS18" s="77">
        <f t="shared" si="17"/>
        <v>290.2</v>
      </c>
      <c r="AT18" s="77">
        <f t="shared" si="17"/>
        <v>323.7</v>
      </c>
      <c r="AU18" s="72">
        <v>249.8</v>
      </c>
      <c r="AV18" s="80">
        <f t="shared" ref="AV18" si="83">AU18/$C18</f>
        <v>31.225000000000001</v>
      </c>
      <c r="AW18" s="81">
        <v>221.22</v>
      </c>
      <c r="AX18" s="71">
        <f t="shared" si="19"/>
        <v>27.6525</v>
      </c>
      <c r="AY18" s="72">
        <v>225.45</v>
      </c>
      <c r="AZ18" s="80">
        <f t="shared" ref="AZ18" si="84">AY18/$C18</f>
        <v>28.181249999999999</v>
      </c>
      <c r="BA18" s="151">
        <f t="shared" si="21"/>
        <v>215.4</v>
      </c>
      <c r="BB18" s="80">
        <f>RCF!I$41</f>
        <v>26.931999999999999</v>
      </c>
    </row>
    <row r="19" spans="1:54" x14ac:dyDescent="0.2">
      <c r="A19" s="78" t="s">
        <v>12</v>
      </c>
      <c r="B19" s="99" t="s">
        <v>247</v>
      </c>
      <c r="C19" s="229">
        <v>14</v>
      </c>
      <c r="D19" s="72">
        <f t="shared" si="0"/>
        <v>895.8</v>
      </c>
      <c r="E19" s="80">
        <f>RCF!C$43</f>
        <v>63.983120993999997</v>
      </c>
      <c r="F19" s="81">
        <f t="shared" si="1"/>
        <v>354.8</v>
      </c>
      <c r="G19" s="80">
        <f t="shared" si="5"/>
        <v>25.342857142857145</v>
      </c>
      <c r="H19" s="81">
        <v>368.7</v>
      </c>
      <c r="I19" s="80">
        <f t="shared" si="5"/>
        <v>26.335714285714285</v>
      </c>
      <c r="J19" s="82">
        <f t="shared" si="2"/>
        <v>405.6</v>
      </c>
      <c r="K19" s="82">
        <f t="shared" si="2"/>
        <v>505.1</v>
      </c>
      <c r="L19" s="82">
        <f t="shared" si="2"/>
        <v>542</v>
      </c>
      <c r="M19" s="82">
        <f t="shared" si="2"/>
        <v>597.29999999999995</v>
      </c>
      <c r="N19" s="82">
        <f t="shared" si="2"/>
        <v>737.4</v>
      </c>
      <c r="O19" s="82">
        <f t="shared" si="2"/>
        <v>792.7</v>
      </c>
      <c r="P19" s="82">
        <f t="shared" si="2"/>
        <v>1106.0999999999999</v>
      </c>
      <c r="Q19" s="151">
        <f t="shared" si="77"/>
        <v>374.8</v>
      </c>
      <c r="R19" s="80">
        <f>R18</f>
        <v>26.773333333333333</v>
      </c>
      <c r="S19" s="82">
        <f t="shared" si="7"/>
        <v>487.2</v>
      </c>
      <c r="T19" s="82">
        <f t="shared" si="7"/>
        <v>562.20000000000005</v>
      </c>
      <c r="U19" s="81">
        <v>347.3</v>
      </c>
      <c r="V19" s="80">
        <f t="shared" ref="V19" si="85">U19/$C19</f>
        <v>24.807142857142857</v>
      </c>
      <c r="W19" s="81">
        <v>370</v>
      </c>
      <c r="X19" s="80">
        <f t="shared" ref="X19" si="86">W19/$C19</f>
        <v>26.428571428571427</v>
      </c>
      <c r="Y19" s="82">
        <f t="shared" si="10"/>
        <v>407</v>
      </c>
      <c r="Z19" s="82">
        <f t="shared" ref="Z19" si="87">ROUNDDOWN($W19*Z$6,1)</f>
        <v>506.9</v>
      </c>
      <c r="AA19" s="82">
        <f t="shared" si="3"/>
        <v>599.4</v>
      </c>
      <c r="AB19" s="82">
        <f t="shared" si="3"/>
        <v>543.9</v>
      </c>
      <c r="AC19" s="82">
        <f t="shared" si="3"/>
        <v>802.9</v>
      </c>
      <c r="AD19" s="82">
        <f t="shared" si="3"/>
        <v>1110</v>
      </c>
      <c r="AE19" s="81">
        <v>352.8</v>
      </c>
      <c r="AF19" s="80">
        <f t="shared" ref="AF19" si="88">AE19/$C19</f>
        <v>25.2</v>
      </c>
      <c r="AG19" s="77">
        <f t="shared" si="4"/>
        <v>582.1</v>
      </c>
      <c r="AH19" s="77">
        <f t="shared" si="4"/>
        <v>740.9</v>
      </c>
      <c r="AI19" s="77">
        <f t="shared" si="4"/>
        <v>1058.4000000000001</v>
      </c>
      <c r="AJ19" s="81">
        <v>0</v>
      </c>
      <c r="AK19" s="80">
        <f t="shared" ref="AK19" si="89">AJ19/$C19</f>
        <v>0</v>
      </c>
      <c r="AL19" s="81">
        <v>499.3</v>
      </c>
      <c r="AM19" s="80">
        <f t="shared" ref="AM19" si="90">AL19/$C19</f>
        <v>35.664285714285718</v>
      </c>
      <c r="AN19" s="81">
        <v>398.8</v>
      </c>
      <c r="AO19" s="71">
        <f t="shared" si="14"/>
        <v>28.485714285714288</v>
      </c>
      <c r="AP19" s="77">
        <f t="shared" si="15"/>
        <v>598.20000000000005</v>
      </c>
      <c r="AQ19" s="151">
        <f>ROUNDDOWN(C19*AR19,1)</f>
        <v>390.8</v>
      </c>
      <c r="AR19" s="234">
        <f t="shared" si="66"/>
        <v>27.92</v>
      </c>
      <c r="AS19" s="77">
        <f t="shared" si="17"/>
        <v>508</v>
      </c>
      <c r="AT19" s="77">
        <f t="shared" si="17"/>
        <v>566.6</v>
      </c>
      <c r="AU19" s="72">
        <v>437.3</v>
      </c>
      <c r="AV19" s="80">
        <f t="shared" ref="AV19" si="91">AU19/$C19</f>
        <v>31.235714285714288</v>
      </c>
      <c r="AW19" s="81">
        <v>387.14</v>
      </c>
      <c r="AX19" s="71">
        <f t="shared" si="19"/>
        <v>27.65285714285714</v>
      </c>
      <c r="AY19" s="72">
        <v>394.53</v>
      </c>
      <c r="AZ19" s="80">
        <f t="shared" ref="AZ19" si="92">AY19/$C19</f>
        <v>28.180714285714284</v>
      </c>
      <c r="BA19" s="151">
        <f>ROUNDDOWN(C19*BB19,1)</f>
        <v>377</v>
      </c>
      <c r="BB19" s="80">
        <f>RCF!I$41</f>
        <v>26.931999999999999</v>
      </c>
    </row>
    <row r="20" spans="1:54" x14ac:dyDescent="0.2">
      <c r="A20" s="78" t="s">
        <v>18</v>
      </c>
      <c r="B20" s="79" t="s">
        <v>24</v>
      </c>
      <c r="C20" s="72">
        <v>0</v>
      </c>
      <c r="D20" s="72">
        <v>0</v>
      </c>
      <c r="E20" s="80">
        <v>0</v>
      </c>
      <c r="F20" s="81">
        <f t="shared" si="1"/>
        <v>0</v>
      </c>
      <c r="G20" s="80">
        <v>0</v>
      </c>
      <c r="H20" s="81">
        <v>0</v>
      </c>
      <c r="I20" s="80">
        <v>0</v>
      </c>
      <c r="J20" s="82">
        <f t="shared" si="2"/>
        <v>0</v>
      </c>
      <c r="K20" s="82">
        <f t="shared" si="2"/>
        <v>0</v>
      </c>
      <c r="L20" s="82">
        <f t="shared" si="2"/>
        <v>0</v>
      </c>
      <c r="M20" s="82">
        <f t="shared" si="2"/>
        <v>0</v>
      </c>
      <c r="N20" s="82">
        <f t="shared" si="2"/>
        <v>0</v>
      </c>
      <c r="O20" s="82">
        <f t="shared" si="2"/>
        <v>0</v>
      </c>
      <c r="P20" s="82">
        <f t="shared" si="2"/>
        <v>0</v>
      </c>
      <c r="Q20" s="81">
        <v>0</v>
      </c>
      <c r="R20" s="80">
        <v>0</v>
      </c>
      <c r="S20" s="82">
        <f t="shared" si="7"/>
        <v>0</v>
      </c>
      <c r="T20" s="82">
        <f t="shared" si="7"/>
        <v>0</v>
      </c>
      <c r="U20" s="81">
        <v>0</v>
      </c>
      <c r="V20" s="80">
        <v>0</v>
      </c>
      <c r="W20" s="81">
        <v>0</v>
      </c>
      <c r="X20" s="80">
        <v>0</v>
      </c>
      <c r="Y20" s="82">
        <f t="shared" si="10"/>
        <v>0</v>
      </c>
      <c r="Z20" s="82">
        <f t="shared" ref="Z20:Z21" si="93">ROUND($C20*$X20*Z$6,1)</f>
        <v>0</v>
      </c>
      <c r="AA20" s="82">
        <f t="shared" ref="AA20:AD21" si="94">ROUND($C20*$X20*AA$6,1)</f>
        <v>0</v>
      </c>
      <c r="AB20" s="82">
        <f t="shared" si="94"/>
        <v>0</v>
      </c>
      <c r="AC20" s="82">
        <f t="shared" si="94"/>
        <v>0</v>
      </c>
      <c r="AD20" s="82">
        <f t="shared" si="94"/>
        <v>0</v>
      </c>
      <c r="AE20" s="72">
        <v>0</v>
      </c>
      <c r="AF20" s="80">
        <v>0</v>
      </c>
      <c r="AG20" s="77">
        <f t="shared" si="4"/>
        <v>0</v>
      </c>
      <c r="AH20" s="77">
        <f t="shared" si="4"/>
        <v>0</v>
      </c>
      <c r="AI20" s="77">
        <f t="shared" si="4"/>
        <v>0</v>
      </c>
      <c r="AJ20" s="81">
        <v>553.5</v>
      </c>
      <c r="AK20" s="80">
        <v>0</v>
      </c>
      <c r="AL20" s="81">
        <v>0</v>
      </c>
      <c r="AM20" s="80">
        <v>0</v>
      </c>
      <c r="AN20" s="81">
        <v>398.8</v>
      </c>
      <c r="AO20" s="71">
        <v>0</v>
      </c>
      <c r="AP20" s="77">
        <f t="shared" si="15"/>
        <v>598.20000000000005</v>
      </c>
      <c r="AQ20" s="81">
        <v>0</v>
      </c>
      <c r="AR20" s="80">
        <v>0</v>
      </c>
      <c r="AS20" s="77">
        <f t="shared" si="17"/>
        <v>0</v>
      </c>
      <c r="AT20" s="77">
        <f t="shared" si="17"/>
        <v>0</v>
      </c>
      <c r="AU20" s="72">
        <v>265.5</v>
      </c>
      <c r="AV20" s="80">
        <v>0</v>
      </c>
      <c r="AW20" s="81">
        <v>0</v>
      </c>
      <c r="AX20" s="71">
        <v>0</v>
      </c>
      <c r="AY20" s="72">
        <v>0</v>
      </c>
      <c r="AZ20" s="80">
        <v>0</v>
      </c>
      <c r="BA20" s="151">
        <f>ROUNDDOWN(C20*BB20,1)</f>
        <v>0</v>
      </c>
      <c r="BB20" s="80">
        <v>0</v>
      </c>
    </row>
    <row r="21" spans="1:54" x14ac:dyDescent="0.2">
      <c r="A21" s="78" t="s">
        <v>19</v>
      </c>
      <c r="B21" s="79" t="s">
        <v>25</v>
      </c>
      <c r="C21" s="72">
        <v>0</v>
      </c>
      <c r="D21" s="72">
        <v>0</v>
      </c>
      <c r="E21" s="80">
        <v>0</v>
      </c>
      <c r="F21" s="81">
        <f t="shared" si="1"/>
        <v>0</v>
      </c>
      <c r="G21" s="80">
        <v>0</v>
      </c>
      <c r="H21" s="81">
        <v>0</v>
      </c>
      <c r="I21" s="80">
        <v>0</v>
      </c>
      <c r="J21" s="82">
        <f t="shared" si="2"/>
        <v>0</v>
      </c>
      <c r="K21" s="82">
        <f t="shared" si="2"/>
        <v>0</v>
      </c>
      <c r="L21" s="82">
        <f t="shared" si="2"/>
        <v>0</v>
      </c>
      <c r="M21" s="82">
        <f t="shared" si="2"/>
        <v>0</v>
      </c>
      <c r="N21" s="82">
        <f t="shared" si="2"/>
        <v>0</v>
      </c>
      <c r="O21" s="82">
        <f t="shared" si="2"/>
        <v>0</v>
      </c>
      <c r="P21" s="82">
        <f t="shared" si="2"/>
        <v>0</v>
      </c>
      <c r="Q21" s="81">
        <v>0</v>
      </c>
      <c r="R21" s="80">
        <v>0</v>
      </c>
      <c r="S21" s="82">
        <f t="shared" si="7"/>
        <v>0</v>
      </c>
      <c r="T21" s="82">
        <f t="shared" si="7"/>
        <v>0</v>
      </c>
      <c r="U21" s="81">
        <v>0</v>
      </c>
      <c r="V21" s="80">
        <v>0</v>
      </c>
      <c r="W21" s="81">
        <v>0</v>
      </c>
      <c r="X21" s="80">
        <v>0</v>
      </c>
      <c r="Y21" s="82">
        <f t="shared" si="10"/>
        <v>0</v>
      </c>
      <c r="Z21" s="82">
        <f t="shared" si="93"/>
        <v>0</v>
      </c>
      <c r="AA21" s="82">
        <f t="shared" si="94"/>
        <v>0</v>
      </c>
      <c r="AB21" s="82">
        <f t="shared" si="94"/>
        <v>0</v>
      </c>
      <c r="AC21" s="82">
        <f t="shared" si="94"/>
        <v>0</v>
      </c>
      <c r="AD21" s="82">
        <f t="shared" si="94"/>
        <v>0</v>
      </c>
      <c r="AE21" s="72">
        <v>0</v>
      </c>
      <c r="AF21" s="80">
        <v>0</v>
      </c>
      <c r="AG21" s="77">
        <f t="shared" si="4"/>
        <v>0</v>
      </c>
      <c r="AH21" s="77">
        <f t="shared" si="4"/>
        <v>0</v>
      </c>
      <c r="AI21" s="77">
        <f t="shared" si="4"/>
        <v>0</v>
      </c>
      <c r="AJ21" s="81">
        <v>553.5</v>
      </c>
      <c r="AK21" s="80"/>
      <c r="AL21" s="81">
        <v>147.69999999999999</v>
      </c>
      <c r="AM21" s="80">
        <v>0</v>
      </c>
      <c r="AN21" s="81">
        <v>0</v>
      </c>
      <c r="AO21" s="71">
        <v>0</v>
      </c>
      <c r="AP21" s="77">
        <f t="shared" si="15"/>
        <v>0</v>
      </c>
      <c r="AQ21" s="81">
        <v>0</v>
      </c>
      <c r="AR21" s="80">
        <v>0</v>
      </c>
      <c r="AS21" s="77">
        <f t="shared" si="17"/>
        <v>0</v>
      </c>
      <c r="AT21" s="77">
        <f t="shared" si="17"/>
        <v>0</v>
      </c>
      <c r="AU21" s="72">
        <v>0</v>
      </c>
      <c r="AV21" s="80">
        <v>0</v>
      </c>
      <c r="AW21" s="81"/>
      <c r="AX21" s="71">
        <v>0</v>
      </c>
      <c r="AY21" s="72">
        <v>0</v>
      </c>
      <c r="AZ21" s="80">
        <v>0</v>
      </c>
      <c r="BA21" s="151">
        <f>ROUNDDOWN(C21*BB21,1)</f>
        <v>0</v>
      </c>
      <c r="BB21" s="80">
        <v>0</v>
      </c>
    </row>
    <row r="22" spans="1:54" x14ac:dyDescent="0.2">
      <c r="A22" s="78" t="s">
        <v>20</v>
      </c>
      <c r="B22" s="79" t="s">
        <v>100</v>
      </c>
      <c r="C22" s="72">
        <v>15</v>
      </c>
      <c r="D22" s="72">
        <f t="shared" ref="D22:D29" si="95">ROUND(E22*C22,1)</f>
        <v>959.7</v>
      </c>
      <c r="E22" s="80">
        <f>RCF!C$43</f>
        <v>63.983120993999997</v>
      </c>
      <c r="F22" s="81">
        <f t="shared" si="1"/>
        <v>430.7</v>
      </c>
      <c r="G22" s="80">
        <f t="shared" si="5"/>
        <v>28.713333333333331</v>
      </c>
      <c r="H22" s="81">
        <v>447.6</v>
      </c>
      <c r="I22" s="80">
        <f t="shared" si="5"/>
        <v>29.84</v>
      </c>
      <c r="J22" s="82">
        <f t="shared" si="2"/>
        <v>492.4</v>
      </c>
      <c r="K22" s="82">
        <f t="shared" si="2"/>
        <v>613.20000000000005</v>
      </c>
      <c r="L22" s="82">
        <f t="shared" si="2"/>
        <v>658</v>
      </c>
      <c r="M22" s="82">
        <f t="shared" si="2"/>
        <v>725.1</v>
      </c>
      <c r="N22" s="82">
        <f t="shared" si="2"/>
        <v>895.2</v>
      </c>
      <c r="O22" s="82">
        <f t="shared" si="2"/>
        <v>962.3</v>
      </c>
      <c r="P22" s="82">
        <f t="shared" si="2"/>
        <v>1342.8</v>
      </c>
      <c r="Q22" s="81">
        <v>455.4</v>
      </c>
      <c r="R22" s="80">
        <f t="shared" ref="R22" si="96">Q22/$C22</f>
        <v>30.36</v>
      </c>
      <c r="S22" s="82">
        <f t="shared" si="7"/>
        <v>592</v>
      </c>
      <c r="T22" s="82">
        <f t="shared" si="7"/>
        <v>683.1</v>
      </c>
      <c r="U22" s="81">
        <v>421.8</v>
      </c>
      <c r="V22" s="80">
        <f t="shared" ref="V22" si="97">U22/$C22</f>
        <v>28.12</v>
      </c>
      <c r="W22" s="81">
        <v>449.2</v>
      </c>
      <c r="X22" s="80">
        <f t="shared" ref="X22" si="98">W22/$C22</f>
        <v>29.946666666666665</v>
      </c>
      <c r="Y22" s="82">
        <f t="shared" si="10"/>
        <v>494.1</v>
      </c>
      <c r="Z22" s="82">
        <f t="shared" ref="Z22:Z24" si="99">ROUNDDOWN($W22*Z$6,1)</f>
        <v>615.4</v>
      </c>
      <c r="AA22" s="82">
        <v>0</v>
      </c>
      <c r="AB22" s="82">
        <f t="shared" ref="AB22:AD28" si="100">ROUNDDOWN($W22*AB$6,1)</f>
        <v>660.3</v>
      </c>
      <c r="AC22" s="82">
        <f t="shared" si="100"/>
        <v>974.7</v>
      </c>
      <c r="AD22" s="82">
        <f t="shared" si="100"/>
        <v>1347.6</v>
      </c>
      <c r="AE22" s="72">
        <v>428.4</v>
      </c>
      <c r="AF22" s="80">
        <f t="shared" ref="AF22" si="101">AE22/$C22</f>
        <v>28.56</v>
      </c>
      <c r="AG22" s="77">
        <f t="shared" si="4"/>
        <v>706.9</v>
      </c>
      <c r="AH22" s="77">
        <f t="shared" si="4"/>
        <v>899.6</v>
      </c>
      <c r="AI22" s="77">
        <f t="shared" si="4"/>
        <v>1285.2</v>
      </c>
      <c r="AJ22" s="81">
        <v>178.7</v>
      </c>
      <c r="AK22" s="80">
        <f t="shared" ref="AK22" si="102">AJ22/$C22</f>
        <v>11.913333333333332</v>
      </c>
      <c r="AL22" s="81">
        <v>591.20000000000005</v>
      </c>
      <c r="AM22" s="80">
        <f t="shared" ref="AM22" si="103">AL22/$C22</f>
        <v>39.413333333333334</v>
      </c>
      <c r="AN22" s="81">
        <v>484.4</v>
      </c>
      <c r="AO22" s="71">
        <f t="shared" si="14"/>
        <v>32.293333333333329</v>
      </c>
      <c r="AP22" s="77">
        <f t="shared" si="15"/>
        <v>726.6</v>
      </c>
      <c r="AQ22" s="81">
        <v>475.1</v>
      </c>
      <c r="AR22" s="80">
        <f t="shared" ref="AR22" si="104">AQ22/$C22</f>
        <v>31.673333333333336</v>
      </c>
      <c r="AS22" s="77">
        <f t="shared" si="17"/>
        <v>617.6</v>
      </c>
      <c r="AT22" s="77">
        <f t="shared" si="17"/>
        <v>688.8</v>
      </c>
      <c r="AU22" s="72">
        <v>0</v>
      </c>
      <c r="AV22" s="80">
        <f t="shared" ref="AV22" si="105">AU22/$C22</f>
        <v>0</v>
      </c>
      <c r="AW22" s="81">
        <v>470.1</v>
      </c>
      <c r="AX22" s="71">
        <f t="shared" si="19"/>
        <v>31.34</v>
      </c>
      <c r="AY22" s="72">
        <v>479.1</v>
      </c>
      <c r="AZ22" s="80">
        <f t="shared" ref="AZ22" si="106">AY22/$C22</f>
        <v>31.94</v>
      </c>
      <c r="BA22" s="81">
        <v>700.1</v>
      </c>
      <c r="BB22" s="80">
        <f t="shared" ref="BB22" si="107">BA22/$C22</f>
        <v>46.673333333333332</v>
      </c>
    </row>
    <row r="23" spans="1:54" x14ac:dyDescent="0.2">
      <c r="A23" s="78" t="s">
        <v>21</v>
      </c>
      <c r="B23" s="79" t="s">
        <v>100</v>
      </c>
      <c r="C23" s="72">
        <v>30</v>
      </c>
      <c r="D23" s="72">
        <f t="shared" si="95"/>
        <v>1919.5</v>
      </c>
      <c r="E23" s="80">
        <f>RCF!C$43</f>
        <v>63.983120993999997</v>
      </c>
      <c r="F23" s="81">
        <f t="shared" si="1"/>
        <v>430.7</v>
      </c>
      <c r="G23" s="80">
        <f t="shared" si="5"/>
        <v>14.356666666666666</v>
      </c>
      <c r="H23" s="81">
        <v>447.6</v>
      </c>
      <c r="I23" s="80">
        <f t="shared" si="5"/>
        <v>14.92</v>
      </c>
      <c r="J23" s="82">
        <f t="shared" si="2"/>
        <v>492.4</v>
      </c>
      <c r="K23" s="82">
        <f t="shared" si="2"/>
        <v>613.20000000000005</v>
      </c>
      <c r="L23" s="82">
        <f t="shared" si="2"/>
        <v>658</v>
      </c>
      <c r="M23" s="82">
        <f t="shared" si="2"/>
        <v>725.1</v>
      </c>
      <c r="N23" s="82">
        <f t="shared" si="2"/>
        <v>895.2</v>
      </c>
      <c r="O23" s="82">
        <f t="shared" si="2"/>
        <v>962.3</v>
      </c>
      <c r="P23" s="82">
        <f t="shared" si="2"/>
        <v>1342.8</v>
      </c>
      <c r="Q23" s="81">
        <v>455.4</v>
      </c>
      <c r="R23" s="80">
        <f t="shared" ref="R23" si="108">Q23/$C23</f>
        <v>15.18</v>
      </c>
      <c r="S23" s="82">
        <f t="shared" si="7"/>
        <v>592</v>
      </c>
      <c r="T23" s="82">
        <f t="shared" si="7"/>
        <v>683.1</v>
      </c>
      <c r="U23" s="81">
        <v>421.8</v>
      </c>
      <c r="V23" s="80">
        <f t="shared" ref="V23" si="109">U23/$C23</f>
        <v>14.06</v>
      </c>
      <c r="W23" s="81">
        <v>449.2</v>
      </c>
      <c r="X23" s="80">
        <f t="shared" ref="X23" si="110">W23/$C23</f>
        <v>14.973333333333333</v>
      </c>
      <c r="Y23" s="82">
        <f t="shared" si="10"/>
        <v>494.1</v>
      </c>
      <c r="Z23" s="82">
        <f t="shared" si="99"/>
        <v>615.4</v>
      </c>
      <c r="AA23" s="82">
        <v>0</v>
      </c>
      <c r="AB23" s="82">
        <f t="shared" si="100"/>
        <v>660.3</v>
      </c>
      <c r="AC23" s="82">
        <f t="shared" si="100"/>
        <v>974.7</v>
      </c>
      <c r="AD23" s="82">
        <f t="shared" si="100"/>
        <v>1347.6</v>
      </c>
      <c r="AE23" s="72">
        <v>428.4</v>
      </c>
      <c r="AF23" s="80">
        <f t="shared" ref="AF23" si="111">AE23/$C23</f>
        <v>14.28</v>
      </c>
      <c r="AG23" s="77">
        <f t="shared" si="4"/>
        <v>706.9</v>
      </c>
      <c r="AH23" s="77">
        <f t="shared" si="4"/>
        <v>899.6</v>
      </c>
      <c r="AI23" s="77">
        <f t="shared" si="4"/>
        <v>1285.2</v>
      </c>
      <c r="AJ23" s="81">
        <v>178.7</v>
      </c>
      <c r="AK23" s="80">
        <f t="shared" ref="AK23" si="112">AJ23/$C23</f>
        <v>5.9566666666666661</v>
      </c>
      <c r="AL23" s="81">
        <v>591.20000000000005</v>
      </c>
      <c r="AM23" s="80">
        <f t="shared" ref="AM23" si="113">AL23/$C23</f>
        <v>19.706666666666667</v>
      </c>
      <c r="AN23" s="81">
        <v>484.4</v>
      </c>
      <c r="AO23" s="71">
        <f t="shared" si="14"/>
        <v>16.146666666666665</v>
      </c>
      <c r="AP23" s="77">
        <f t="shared" si="15"/>
        <v>726.6</v>
      </c>
      <c r="AQ23" s="81">
        <v>475.1</v>
      </c>
      <c r="AR23" s="80">
        <f t="shared" ref="AR23" si="114">AQ23/$C23</f>
        <v>15.836666666666668</v>
      </c>
      <c r="AS23" s="77">
        <f t="shared" si="17"/>
        <v>617.6</v>
      </c>
      <c r="AT23" s="77">
        <f t="shared" si="17"/>
        <v>688.8</v>
      </c>
      <c r="AU23" s="72">
        <v>530.70000000000005</v>
      </c>
      <c r="AV23" s="80">
        <f t="shared" ref="AV23" si="115">AU23/$C23</f>
        <v>17.690000000000001</v>
      </c>
      <c r="AW23" s="81">
        <v>470.1</v>
      </c>
      <c r="AX23" s="71">
        <f t="shared" si="19"/>
        <v>15.67</v>
      </c>
      <c r="AY23" s="72">
        <v>479.1</v>
      </c>
      <c r="AZ23" s="80">
        <f t="shared" ref="AZ23" si="116">AY23/$C23</f>
        <v>15.97</v>
      </c>
      <c r="BA23" s="81">
        <v>700.1</v>
      </c>
      <c r="BB23" s="80">
        <f t="shared" ref="BB23" si="117">BA23/$C23</f>
        <v>23.336666666666666</v>
      </c>
    </row>
    <row r="24" spans="1:54" x14ac:dyDescent="0.2">
      <c r="A24" s="78" t="s">
        <v>22</v>
      </c>
      <c r="B24" s="79" t="s">
        <v>100</v>
      </c>
      <c r="C24" s="72">
        <v>45</v>
      </c>
      <c r="D24" s="72">
        <f t="shared" si="95"/>
        <v>2879.2</v>
      </c>
      <c r="E24" s="80">
        <f>RCF!C$43</f>
        <v>63.983120993999997</v>
      </c>
      <c r="F24" s="81">
        <f t="shared" si="1"/>
        <v>430.7</v>
      </c>
      <c r="G24" s="80">
        <f t="shared" si="5"/>
        <v>9.5711111111111116</v>
      </c>
      <c r="H24" s="81">
        <v>447.6</v>
      </c>
      <c r="I24" s="80">
        <f t="shared" si="5"/>
        <v>9.9466666666666672</v>
      </c>
      <c r="J24" s="82">
        <f t="shared" si="2"/>
        <v>492.4</v>
      </c>
      <c r="K24" s="82">
        <f t="shared" si="2"/>
        <v>613.20000000000005</v>
      </c>
      <c r="L24" s="82">
        <f t="shared" si="2"/>
        <v>658</v>
      </c>
      <c r="M24" s="82">
        <f t="shared" si="2"/>
        <v>725.1</v>
      </c>
      <c r="N24" s="82">
        <f t="shared" si="2"/>
        <v>895.2</v>
      </c>
      <c r="O24" s="82">
        <f t="shared" si="2"/>
        <v>962.3</v>
      </c>
      <c r="P24" s="82">
        <f t="shared" si="2"/>
        <v>1342.8</v>
      </c>
      <c r="Q24" s="81">
        <v>455.4</v>
      </c>
      <c r="R24" s="80">
        <f t="shared" ref="R24" si="118">Q24/$C24</f>
        <v>10.119999999999999</v>
      </c>
      <c r="S24" s="82">
        <f t="shared" si="7"/>
        <v>592</v>
      </c>
      <c r="T24" s="82">
        <f t="shared" si="7"/>
        <v>683.1</v>
      </c>
      <c r="U24" s="81">
        <v>421.8</v>
      </c>
      <c r="V24" s="80">
        <f t="shared" ref="V24" si="119">U24/$C24</f>
        <v>9.3733333333333331</v>
      </c>
      <c r="W24" s="81">
        <v>449.2</v>
      </c>
      <c r="X24" s="80">
        <f t="shared" ref="X24" si="120">W24/$C24</f>
        <v>9.9822222222222212</v>
      </c>
      <c r="Y24" s="82">
        <f t="shared" si="10"/>
        <v>494.1</v>
      </c>
      <c r="Z24" s="82">
        <f t="shared" si="99"/>
        <v>615.4</v>
      </c>
      <c r="AA24" s="82">
        <v>0</v>
      </c>
      <c r="AB24" s="82">
        <f t="shared" si="100"/>
        <v>660.3</v>
      </c>
      <c r="AC24" s="82">
        <f t="shared" si="100"/>
        <v>974.7</v>
      </c>
      <c r="AD24" s="82">
        <f t="shared" si="100"/>
        <v>1347.6</v>
      </c>
      <c r="AE24" s="72">
        <v>428.4</v>
      </c>
      <c r="AF24" s="80">
        <f t="shared" ref="AF24" si="121">AE24/$C24</f>
        <v>9.52</v>
      </c>
      <c r="AG24" s="77">
        <f t="shared" si="4"/>
        <v>706.9</v>
      </c>
      <c r="AH24" s="77">
        <f t="shared" si="4"/>
        <v>899.6</v>
      </c>
      <c r="AI24" s="77">
        <f t="shared" si="4"/>
        <v>1285.2</v>
      </c>
      <c r="AJ24" s="81">
        <v>178.7</v>
      </c>
      <c r="AK24" s="80">
        <f t="shared" ref="AK24" si="122">AJ24/$C24</f>
        <v>3.971111111111111</v>
      </c>
      <c r="AL24" s="81">
        <v>591.20000000000005</v>
      </c>
      <c r="AM24" s="80">
        <f t="shared" ref="AM24" si="123">AL24/$C24</f>
        <v>13.137777777777778</v>
      </c>
      <c r="AN24" s="81">
        <v>484.4</v>
      </c>
      <c r="AO24" s="71">
        <f t="shared" si="14"/>
        <v>10.764444444444443</v>
      </c>
      <c r="AP24" s="77">
        <f t="shared" si="15"/>
        <v>726.6</v>
      </c>
      <c r="AQ24" s="81">
        <v>475.1</v>
      </c>
      <c r="AR24" s="80">
        <f t="shared" ref="AR24" si="124">AQ24/$C24</f>
        <v>10.557777777777778</v>
      </c>
      <c r="AS24" s="77">
        <f t="shared" si="17"/>
        <v>617.6</v>
      </c>
      <c r="AT24" s="77">
        <f t="shared" si="17"/>
        <v>688.8</v>
      </c>
      <c r="AU24" s="72">
        <v>530.70000000000005</v>
      </c>
      <c r="AV24" s="80">
        <f t="shared" ref="AV24" si="125">AU24/$C24</f>
        <v>11.793333333333335</v>
      </c>
      <c r="AW24" s="81">
        <v>470.1</v>
      </c>
      <c r="AX24" s="71">
        <f t="shared" si="19"/>
        <v>10.446666666666667</v>
      </c>
      <c r="AY24" s="72">
        <v>479.1</v>
      </c>
      <c r="AZ24" s="80">
        <f t="shared" ref="AZ24" si="126">AY24/$C24</f>
        <v>10.646666666666667</v>
      </c>
      <c r="BA24" s="81">
        <v>700.1</v>
      </c>
      <c r="BB24" s="80">
        <f t="shared" ref="BB24" si="127">BA24/$C24</f>
        <v>15.557777777777778</v>
      </c>
    </row>
    <row r="25" spans="1:54" x14ac:dyDescent="0.2">
      <c r="A25" s="78" t="s">
        <v>15</v>
      </c>
      <c r="B25" s="79" t="s">
        <v>99</v>
      </c>
      <c r="C25" s="72">
        <v>15</v>
      </c>
      <c r="D25" s="72">
        <f t="shared" si="95"/>
        <v>959.7</v>
      </c>
      <c r="E25" s="80">
        <f>RCF!C$43</f>
        <v>63.983120993999997</v>
      </c>
      <c r="F25" s="81">
        <f t="shared" si="1"/>
        <v>430.7</v>
      </c>
      <c r="G25" s="80">
        <f t="shared" si="5"/>
        <v>28.713333333333331</v>
      </c>
      <c r="H25" s="81">
        <v>447.6</v>
      </c>
      <c r="I25" s="80">
        <f t="shared" si="5"/>
        <v>29.84</v>
      </c>
      <c r="J25" s="82">
        <f t="shared" si="2"/>
        <v>492.4</v>
      </c>
      <c r="K25" s="82">
        <f t="shared" si="2"/>
        <v>613.20000000000005</v>
      </c>
      <c r="L25" s="82">
        <f t="shared" si="2"/>
        <v>658</v>
      </c>
      <c r="M25" s="82">
        <f t="shared" si="2"/>
        <v>725.1</v>
      </c>
      <c r="N25" s="82">
        <f t="shared" si="2"/>
        <v>895.2</v>
      </c>
      <c r="O25" s="82">
        <f t="shared" si="2"/>
        <v>962.3</v>
      </c>
      <c r="P25" s="82">
        <f t="shared" si="2"/>
        <v>1342.8</v>
      </c>
      <c r="Q25" s="81">
        <v>455.4</v>
      </c>
      <c r="R25" s="80">
        <f t="shared" ref="R25" si="128">Q25/$C25</f>
        <v>30.36</v>
      </c>
      <c r="S25" s="82">
        <f t="shared" si="7"/>
        <v>592</v>
      </c>
      <c r="T25" s="82">
        <f t="shared" si="7"/>
        <v>683.1</v>
      </c>
      <c r="U25" s="81">
        <v>474.7</v>
      </c>
      <c r="V25" s="80">
        <f t="shared" ref="V25" si="129">U25/$C25</f>
        <v>31.646666666666665</v>
      </c>
      <c r="W25" s="81">
        <v>505.5</v>
      </c>
      <c r="X25" s="80">
        <f t="shared" ref="X25" si="130">W25/$C25</f>
        <v>33.700000000000003</v>
      </c>
      <c r="Y25" s="82">
        <f t="shared" si="10"/>
        <v>556</v>
      </c>
      <c r="Z25" s="82">
        <v>0</v>
      </c>
      <c r="AA25" s="82">
        <f t="shared" ref="AA25:AA28" si="131">ROUNDDOWN($W25*AA$6,1)</f>
        <v>818.9</v>
      </c>
      <c r="AB25" s="82">
        <f t="shared" si="100"/>
        <v>743</v>
      </c>
      <c r="AC25" s="82">
        <f t="shared" si="100"/>
        <v>1096.9000000000001</v>
      </c>
      <c r="AD25" s="82">
        <f t="shared" si="100"/>
        <v>1516.5</v>
      </c>
      <c r="AE25" s="72">
        <v>428.4</v>
      </c>
      <c r="AF25" s="80">
        <f t="shared" ref="AF25" si="132">AE25/$C25</f>
        <v>28.56</v>
      </c>
      <c r="AG25" s="77">
        <f t="shared" si="4"/>
        <v>706.9</v>
      </c>
      <c r="AH25" s="77">
        <f t="shared" si="4"/>
        <v>899.6</v>
      </c>
      <c r="AI25" s="77">
        <f t="shared" si="4"/>
        <v>1285.2</v>
      </c>
      <c r="AJ25" s="81">
        <v>0</v>
      </c>
      <c r="AK25" s="80">
        <f t="shared" ref="AK25" si="133">AJ25/$C25</f>
        <v>0</v>
      </c>
      <c r="AL25" s="81">
        <v>611</v>
      </c>
      <c r="AM25" s="80">
        <f t="shared" ref="AM25" si="134">AL25/$C25</f>
        <v>40.733333333333334</v>
      </c>
      <c r="AN25" s="81">
        <v>484.4</v>
      </c>
      <c r="AO25" s="71">
        <f t="shared" si="14"/>
        <v>32.293333333333329</v>
      </c>
      <c r="AP25" s="77">
        <f t="shared" si="15"/>
        <v>726.6</v>
      </c>
      <c r="AQ25" s="81">
        <v>475.1</v>
      </c>
      <c r="AR25" s="80">
        <f t="shared" ref="AR25" si="135">AQ25/$C25</f>
        <v>31.673333333333336</v>
      </c>
      <c r="AS25" s="77">
        <f t="shared" si="17"/>
        <v>617.6</v>
      </c>
      <c r="AT25" s="77">
        <f t="shared" si="17"/>
        <v>688.8</v>
      </c>
      <c r="AU25" s="72">
        <v>640.5</v>
      </c>
      <c r="AV25" s="80">
        <f t="shared" ref="AV25" si="136">AU25/$C25</f>
        <v>42.7</v>
      </c>
      <c r="AW25" s="81">
        <v>470.1</v>
      </c>
      <c r="AX25" s="71">
        <f t="shared" si="19"/>
        <v>31.34</v>
      </c>
      <c r="AY25" s="72">
        <v>479.1</v>
      </c>
      <c r="AZ25" s="80">
        <f t="shared" ref="AZ25" si="137">AY25/$C25</f>
        <v>31.94</v>
      </c>
      <c r="BA25" s="81">
        <v>700.1</v>
      </c>
      <c r="BB25" s="80">
        <f t="shared" ref="BB25" si="138">BA25/$C25</f>
        <v>46.673333333333332</v>
      </c>
    </row>
    <row r="26" spans="1:54" x14ac:dyDescent="0.2">
      <c r="A26" s="78" t="s">
        <v>16</v>
      </c>
      <c r="B26" s="79" t="s">
        <v>99</v>
      </c>
      <c r="C26" s="72">
        <v>30</v>
      </c>
      <c r="D26" s="72">
        <f t="shared" si="95"/>
        <v>1919.5</v>
      </c>
      <c r="E26" s="80">
        <f>RCF!C$43</f>
        <v>63.983120993999997</v>
      </c>
      <c r="F26" s="81">
        <f t="shared" si="1"/>
        <v>430.7</v>
      </c>
      <c r="G26" s="80">
        <f t="shared" si="5"/>
        <v>14.356666666666666</v>
      </c>
      <c r="H26" s="81">
        <v>447.6</v>
      </c>
      <c r="I26" s="80">
        <f t="shared" si="5"/>
        <v>14.92</v>
      </c>
      <c r="J26" s="82">
        <f t="shared" si="2"/>
        <v>492.4</v>
      </c>
      <c r="K26" s="82">
        <f t="shared" si="2"/>
        <v>613.20000000000005</v>
      </c>
      <c r="L26" s="82">
        <f t="shared" si="2"/>
        <v>658</v>
      </c>
      <c r="M26" s="82">
        <f t="shared" si="2"/>
        <v>725.1</v>
      </c>
      <c r="N26" s="82">
        <f t="shared" si="2"/>
        <v>895.2</v>
      </c>
      <c r="O26" s="82">
        <f t="shared" si="2"/>
        <v>962.3</v>
      </c>
      <c r="P26" s="82">
        <f t="shared" si="2"/>
        <v>1342.8</v>
      </c>
      <c r="Q26" s="81">
        <v>455.4</v>
      </c>
      <c r="R26" s="80">
        <f t="shared" ref="R26" si="139">Q26/$C26</f>
        <v>15.18</v>
      </c>
      <c r="S26" s="82">
        <f t="shared" si="7"/>
        <v>592</v>
      </c>
      <c r="T26" s="82">
        <f t="shared" si="7"/>
        <v>683.1</v>
      </c>
      <c r="U26" s="81">
        <v>474.7</v>
      </c>
      <c r="V26" s="80">
        <f t="shared" ref="V26" si="140">U26/$C26</f>
        <v>15.823333333333332</v>
      </c>
      <c r="W26" s="81">
        <v>505.5</v>
      </c>
      <c r="X26" s="80">
        <f t="shared" ref="X26" si="141">W26/$C26</f>
        <v>16.850000000000001</v>
      </c>
      <c r="Y26" s="82">
        <f t="shared" si="10"/>
        <v>556</v>
      </c>
      <c r="Z26" s="82">
        <v>0</v>
      </c>
      <c r="AA26" s="82">
        <f t="shared" si="131"/>
        <v>818.9</v>
      </c>
      <c r="AB26" s="82">
        <f t="shared" si="100"/>
        <v>743</v>
      </c>
      <c r="AC26" s="82">
        <f t="shared" si="100"/>
        <v>1096.9000000000001</v>
      </c>
      <c r="AD26" s="82">
        <f t="shared" si="100"/>
        <v>1516.5</v>
      </c>
      <c r="AE26" s="72">
        <v>428.4</v>
      </c>
      <c r="AF26" s="80">
        <f t="shared" ref="AF26" si="142">AE26/$C26</f>
        <v>14.28</v>
      </c>
      <c r="AG26" s="77">
        <f t="shared" si="4"/>
        <v>706.9</v>
      </c>
      <c r="AH26" s="77">
        <f t="shared" si="4"/>
        <v>899.6</v>
      </c>
      <c r="AI26" s="77">
        <f t="shared" si="4"/>
        <v>1285.2</v>
      </c>
      <c r="AJ26" s="81">
        <v>0</v>
      </c>
      <c r="AK26" s="80">
        <f t="shared" ref="AK26" si="143">AJ26/$C26</f>
        <v>0</v>
      </c>
      <c r="AL26" s="81">
        <v>611</v>
      </c>
      <c r="AM26" s="80">
        <f t="shared" ref="AM26" si="144">AL26/$C26</f>
        <v>20.366666666666667</v>
      </c>
      <c r="AN26" s="81">
        <v>484.4</v>
      </c>
      <c r="AO26" s="71">
        <f t="shared" si="14"/>
        <v>16.146666666666665</v>
      </c>
      <c r="AP26" s="77">
        <f t="shared" si="15"/>
        <v>726.6</v>
      </c>
      <c r="AQ26" s="81">
        <v>475.1</v>
      </c>
      <c r="AR26" s="80">
        <f t="shared" ref="AR26" si="145">AQ26/$C26</f>
        <v>15.836666666666668</v>
      </c>
      <c r="AS26" s="77">
        <f t="shared" si="17"/>
        <v>617.6</v>
      </c>
      <c r="AT26" s="77">
        <f t="shared" si="17"/>
        <v>688.8</v>
      </c>
      <c r="AU26" s="72">
        <v>640.5</v>
      </c>
      <c r="AV26" s="80">
        <f t="shared" ref="AV26" si="146">AU26/$C26</f>
        <v>21.35</v>
      </c>
      <c r="AW26" s="81">
        <v>470.1</v>
      </c>
      <c r="AX26" s="71">
        <f t="shared" si="19"/>
        <v>15.67</v>
      </c>
      <c r="AY26" s="72">
        <v>479.1</v>
      </c>
      <c r="AZ26" s="80">
        <f t="shared" ref="AZ26" si="147">AY26/$C26</f>
        <v>15.97</v>
      </c>
      <c r="BA26" s="81">
        <v>700.1</v>
      </c>
      <c r="BB26" s="80">
        <f t="shared" ref="BB26" si="148">BA26/$C26</f>
        <v>23.336666666666666</v>
      </c>
    </row>
    <row r="27" spans="1:54" x14ac:dyDescent="0.2">
      <c r="A27" s="78" t="s">
        <v>17</v>
      </c>
      <c r="B27" s="79" t="s">
        <v>99</v>
      </c>
      <c r="C27" s="72">
        <v>45</v>
      </c>
      <c r="D27" s="72">
        <f t="shared" si="95"/>
        <v>2879.2</v>
      </c>
      <c r="E27" s="80">
        <f>RCF!C$43</f>
        <v>63.983120993999997</v>
      </c>
      <c r="F27" s="81">
        <f t="shared" si="1"/>
        <v>430.7</v>
      </c>
      <c r="G27" s="80">
        <f t="shared" si="5"/>
        <v>9.5711111111111116</v>
      </c>
      <c r="H27" s="81">
        <v>447.6</v>
      </c>
      <c r="I27" s="80">
        <f t="shared" si="5"/>
        <v>9.9466666666666672</v>
      </c>
      <c r="J27" s="82">
        <f t="shared" si="2"/>
        <v>492.4</v>
      </c>
      <c r="K27" s="82">
        <f t="shared" si="2"/>
        <v>613.20000000000005</v>
      </c>
      <c r="L27" s="82">
        <f t="shared" si="2"/>
        <v>658</v>
      </c>
      <c r="M27" s="82">
        <f t="shared" si="2"/>
        <v>725.1</v>
      </c>
      <c r="N27" s="82">
        <f t="shared" si="2"/>
        <v>895.2</v>
      </c>
      <c r="O27" s="82">
        <f t="shared" si="2"/>
        <v>962.3</v>
      </c>
      <c r="P27" s="82">
        <f t="shared" si="2"/>
        <v>1342.8</v>
      </c>
      <c r="Q27" s="81">
        <v>455.4</v>
      </c>
      <c r="R27" s="80">
        <f t="shared" ref="R27" si="149">Q27/$C27</f>
        <v>10.119999999999999</v>
      </c>
      <c r="S27" s="82">
        <f t="shared" si="7"/>
        <v>592</v>
      </c>
      <c r="T27" s="82">
        <f t="shared" si="7"/>
        <v>683.1</v>
      </c>
      <c r="U27" s="81">
        <v>474.7</v>
      </c>
      <c r="V27" s="80">
        <f t="shared" ref="V27" si="150">U27/$C27</f>
        <v>10.548888888888889</v>
      </c>
      <c r="W27" s="81">
        <v>505.5</v>
      </c>
      <c r="X27" s="80">
        <f t="shared" ref="X27" si="151">W27/$C27</f>
        <v>11.233333333333333</v>
      </c>
      <c r="Y27" s="82">
        <f t="shared" si="10"/>
        <v>556</v>
      </c>
      <c r="Z27" s="82">
        <v>0</v>
      </c>
      <c r="AA27" s="82">
        <f t="shared" si="131"/>
        <v>818.9</v>
      </c>
      <c r="AB27" s="82">
        <f t="shared" si="100"/>
        <v>743</v>
      </c>
      <c r="AC27" s="82">
        <f t="shared" si="100"/>
        <v>1096.9000000000001</v>
      </c>
      <c r="AD27" s="82">
        <f t="shared" si="100"/>
        <v>1516.5</v>
      </c>
      <c r="AE27" s="72">
        <v>428.4</v>
      </c>
      <c r="AF27" s="80">
        <f t="shared" ref="AF27" si="152">AE27/$C27</f>
        <v>9.52</v>
      </c>
      <c r="AG27" s="77">
        <f t="shared" si="4"/>
        <v>706.9</v>
      </c>
      <c r="AH27" s="77">
        <f t="shared" si="4"/>
        <v>899.6</v>
      </c>
      <c r="AI27" s="77">
        <f t="shared" si="4"/>
        <v>1285.2</v>
      </c>
      <c r="AJ27" s="81">
        <v>0</v>
      </c>
      <c r="AK27" s="80">
        <f t="shared" ref="AK27" si="153">AJ27/$C27</f>
        <v>0</v>
      </c>
      <c r="AL27" s="81">
        <v>611</v>
      </c>
      <c r="AM27" s="80">
        <f t="shared" ref="AM27" si="154">AL27/$C27</f>
        <v>13.577777777777778</v>
      </c>
      <c r="AN27" s="81">
        <v>484.4</v>
      </c>
      <c r="AO27" s="71">
        <f t="shared" si="14"/>
        <v>10.764444444444443</v>
      </c>
      <c r="AP27" s="77">
        <f t="shared" si="15"/>
        <v>726.6</v>
      </c>
      <c r="AQ27" s="81">
        <v>475.1</v>
      </c>
      <c r="AR27" s="80">
        <f t="shared" ref="AR27" si="155">AQ27/$C27</f>
        <v>10.557777777777778</v>
      </c>
      <c r="AS27" s="77">
        <f t="shared" si="17"/>
        <v>617.6</v>
      </c>
      <c r="AT27" s="77">
        <f t="shared" si="17"/>
        <v>688.8</v>
      </c>
      <c r="AU27" s="72">
        <v>640.5</v>
      </c>
      <c r="AV27" s="80">
        <f t="shared" ref="AV27" si="156">AU27/$C27</f>
        <v>14.233333333333333</v>
      </c>
      <c r="AW27" s="81">
        <v>470.1</v>
      </c>
      <c r="AX27" s="71">
        <f t="shared" si="19"/>
        <v>10.446666666666667</v>
      </c>
      <c r="AY27" s="72">
        <v>479.1</v>
      </c>
      <c r="AZ27" s="80">
        <f t="shared" ref="AZ27" si="157">AY27/$C27</f>
        <v>10.646666666666667</v>
      </c>
      <c r="BA27" s="81">
        <v>700.1</v>
      </c>
      <c r="BB27" s="80">
        <f t="shared" ref="BB27" si="158">BA27/$C27</f>
        <v>15.557777777777778</v>
      </c>
    </row>
    <row r="28" spans="1:54" s="211" customFormat="1" x14ac:dyDescent="0.2">
      <c r="A28" s="209" t="s">
        <v>232</v>
      </c>
      <c r="B28" s="210" t="s">
        <v>99</v>
      </c>
      <c r="C28" s="153">
        <v>63.6</v>
      </c>
      <c r="D28" s="153">
        <f t="shared" ref="D28" si="159">ROUND(E28*C28,1)</f>
        <v>4069.3</v>
      </c>
      <c r="E28" s="154">
        <f>RCF!C$43</f>
        <v>63.983120993999997</v>
      </c>
      <c r="F28" s="155">
        <f t="shared" si="1"/>
        <v>0</v>
      </c>
      <c r="G28" s="154">
        <f t="shared" ref="G28" si="160">F28/$C28</f>
        <v>0</v>
      </c>
      <c r="H28" s="155">
        <v>0</v>
      </c>
      <c r="I28" s="154">
        <f t="shared" ref="I28" si="161">H28/$C28</f>
        <v>0</v>
      </c>
      <c r="J28" s="156">
        <f t="shared" si="2"/>
        <v>0</v>
      </c>
      <c r="K28" s="156">
        <f t="shared" si="2"/>
        <v>0</v>
      </c>
      <c r="L28" s="156">
        <f t="shared" si="2"/>
        <v>0</v>
      </c>
      <c r="M28" s="156">
        <f t="shared" si="2"/>
        <v>0</v>
      </c>
      <c r="N28" s="156">
        <f t="shared" si="2"/>
        <v>0</v>
      </c>
      <c r="O28" s="156">
        <f t="shared" si="2"/>
        <v>0</v>
      </c>
      <c r="P28" s="156">
        <f t="shared" si="2"/>
        <v>0</v>
      </c>
      <c r="Q28" s="155"/>
      <c r="R28" s="154">
        <f t="shared" ref="R28" si="162">Q28/$C28</f>
        <v>0</v>
      </c>
      <c r="S28" s="156">
        <f t="shared" si="7"/>
        <v>0</v>
      </c>
      <c r="T28" s="156">
        <f t="shared" si="7"/>
        <v>0</v>
      </c>
      <c r="U28" s="155">
        <v>0</v>
      </c>
      <c r="V28" s="154">
        <f t="shared" ref="V28" si="163">U28/$C28</f>
        <v>0</v>
      </c>
      <c r="W28" s="155">
        <v>0</v>
      </c>
      <c r="X28" s="154">
        <f t="shared" ref="X28" si="164">W28/$C28</f>
        <v>0</v>
      </c>
      <c r="Y28" s="156">
        <f t="shared" si="10"/>
        <v>0</v>
      </c>
      <c r="Z28" s="156">
        <v>0</v>
      </c>
      <c r="AA28" s="156">
        <f t="shared" si="131"/>
        <v>0</v>
      </c>
      <c r="AB28" s="156">
        <f t="shared" si="100"/>
        <v>0</v>
      </c>
      <c r="AC28" s="156">
        <f t="shared" si="100"/>
        <v>0</v>
      </c>
      <c r="AD28" s="156">
        <f t="shared" si="100"/>
        <v>0</v>
      </c>
      <c r="AE28" s="153">
        <v>0</v>
      </c>
      <c r="AF28" s="154">
        <f t="shared" ref="AF28" si="165">AE28/$C28</f>
        <v>0</v>
      </c>
      <c r="AG28" s="157">
        <f t="shared" si="4"/>
        <v>0</v>
      </c>
      <c r="AH28" s="157">
        <f t="shared" si="4"/>
        <v>0</v>
      </c>
      <c r="AI28" s="157">
        <f t="shared" si="4"/>
        <v>0</v>
      </c>
      <c r="AJ28" s="155">
        <v>0</v>
      </c>
      <c r="AK28" s="154">
        <f t="shared" ref="AK28" si="166">AJ28/$C28</f>
        <v>0</v>
      </c>
      <c r="AL28" s="155">
        <v>611</v>
      </c>
      <c r="AM28" s="154">
        <f t="shared" ref="AM28" si="167">AL28/$C28</f>
        <v>9.6069182389937104</v>
      </c>
      <c r="AN28" s="81">
        <v>0</v>
      </c>
      <c r="AO28" s="71">
        <f t="shared" si="14"/>
        <v>0</v>
      </c>
      <c r="AP28" s="157">
        <f t="shared" si="15"/>
        <v>0</v>
      </c>
      <c r="AQ28" s="155">
        <v>0</v>
      </c>
      <c r="AR28" s="154">
        <f t="shared" ref="AR28" si="168">AQ28/$C28</f>
        <v>0</v>
      </c>
      <c r="AS28" s="157">
        <f t="shared" si="17"/>
        <v>0</v>
      </c>
      <c r="AT28" s="157">
        <f t="shared" si="17"/>
        <v>0</v>
      </c>
      <c r="AU28" s="153">
        <v>640.5</v>
      </c>
      <c r="AV28" s="154">
        <f t="shared" ref="AV28" si="169">AU28/$C28</f>
        <v>10.070754716981131</v>
      </c>
      <c r="AW28" s="155">
        <v>0</v>
      </c>
      <c r="AX28" s="71">
        <f t="shared" si="19"/>
        <v>0</v>
      </c>
      <c r="AY28" s="153">
        <v>0</v>
      </c>
      <c r="AZ28" s="154">
        <f t="shared" ref="AZ28" si="170">AY28/$C28</f>
        <v>0</v>
      </c>
      <c r="BA28" s="155">
        <v>0</v>
      </c>
      <c r="BB28" s="154">
        <f t="shared" ref="BB28" si="171">BA28/$C28</f>
        <v>0</v>
      </c>
    </row>
    <row r="29" spans="1:54" x14ac:dyDescent="0.2">
      <c r="A29" s="78" t="s">
        <v>13</v>
      </c>
      <c r="B29" s="83" t="s">
        <v>14</v>
      </c>
      <c r="C29" s="72">
        <v>21.43</v>
      </c>
      <c r="D29" s="72">
        <f t="shared" si="95"/>
        <v>1371.2</v>
      </c>
      <c r="E29" s="80">
        <f>RCF!C$43</f>
        <v>63.983120993999997</v>
      </c>
      <c r="F29" s="81">
        <f t="shared" si="1"/>
        <v>543.5</v>
      </c>
      <c r="G29" s="80">
        <f t="shared" si="5"/>
        <v>25.361642557162856</v>
      </c>
      <c r="H29" s="81">
        <v>564.70000000000005</v>
      </c>
      <c r="I29" s="80">
        <f t="shared" si="5"/>
        <v>26.350909939337381</v>
      </c>
      <c r="J29" s="82">
        <f t="shared" si="2"/>
        <v>621.20000000000005</v>
      </c>
      <c r="K29" s="82">
        <f t="shared" si="2"/>
        <v>773.6</v>
      </c>
      <c r="L29" s="82">
        <f t="shared" si="2"/>
        <v>830.1</v>
      </c>
      <c r="M29" s="82">
        <f t="shared" si="2"/>
        <v>914.8</v>
      </c>
      <c r="N29" s="82">
        <f t="shared" si="2"/>
        <v>1129.4000000000001</v>
      </c>
      <c r="O29" s="82">
        <f t="shared" si="2"/>
        <v>1214.0999999999999</v>
      </c>
      <c r="P29" s="82">
        <f t="shared" si="2"/>
        <v>1694.1</v>
      </c>
      <c r="Q29" s="81">
        <v>573.9</v>
      </c>
      <c r="R29" s="80">
        <f t="shared" ref="R29" si="172">Q29/$C29</f>
        <v>26.780214652356509</v>
      </c>
      <c r="S29" s="82">
        <f t="shared" si="7"/>
        <v>746</v>
      </c>
      <c r="T29" s="82">
        <f t="shared" si="7"/>
        <v>860.8</v>
      </c>
      <c r="U29" s="81">
        <v>531.29999999999995</v>
      </c>
      <c r="V29" s="80">
        <f t="shared" ref="V29" si="173">U29/$C29</f>
        <v>24.792347176854875</v>
      </c>
      <c r="W29" s="81">
        <v>565.9</v>
      </c>
      <c r="X29" s="80">
        <f t="shared" ref="X29" si="174">W29/$C29</f>
        <v>26.406906206252916</v>
      </c>
      <c r="Y29" s="82">
        <f>W29</f>
        <v>565.9</v>
      </c>
      <c r="Z29" s="82">
        <f>Y29</f>
        <v>565.9</v>
      </c>
      <c r="AA29" s="82">
        <f t="shared" ref="AA29:AD29" si="175">Z29</f>
        <v>565.9</v>
      </c>
      <c r="AB29" s="82">
        <f t="shared" si="175"/>
        <v>565.9</v>
      </c>
      <c r="AC29" s="82">
        <f t="shared" si="175"/>
        <v>565.9</v>
      </c>
      <c r="AD29" s="82">
        <f t="shared" si="175"/>
        <v>565.9</v>
      </c>
      <c r="AE29" s="72">
        <v>539.9</v>
      </c>
      <c r="AF29" s="80">
        <f t="shared" ref="AF29" si="176">AE29/$C29</f>
        <v>25.193653756416239</v>
      </c>
      <c r="AG29" s="77">
        <f t="shared" si="4"/>
        <v>890.8</v>
      </c>
      <c r="AH29" s="77">
        <f t="shared" si="4"/>
        <v>1133.8</v>
      </c>
      <c r="AI29" s="77">
        <f t="shared" si="4"/>
        <v>1619.7</v>
      </c>
      <c r="AJ29" s="81">
        <v>0</v>
      </c>
      <c r="AK29" s="80">
        <f t="shared" ref="AK29" si="177">AJ29/$C29</f>
        <v>0</v>
      </c>
      <c r="AL29" s="81">
        <v>672.6</v>
      </c>
      <c r="AM29" s="80">
        <f t="shared" ref="AM29" si="178">AL29/$C29</f>
        <v>31.385907606159591</v>
      </c>
      <c r="AN29" s="81">
        <v>610.20000000000005</v>
      </c>
      <c r="AO29" s="71">
        <f t="shared" si="14"/>
        <v>28.474101726551567</v>
      </c>
      <c r="AP29" s="77">
        <f t="shared" si="15"/>
        <v>915.3</v>
      </c>
      <c r="AQ29" s="72">
        <v>598.70000000000005</v>
      </c>
      <c r="AR29" s="80">
        <f t="shared" ref="AR29" si="179">AQ29/$C29</f>
        <v>27.937470835277651</v>
      </c>
      <c r="AS29" s="77">
        <f t="shared" si="17"/>
        <v>778.3</v>
      </c>
      <c r="AT29" s="77">
        <f t="shared" si="17"/>
        <v>868.1</v>
      </c>
      <c r="AU29" s="72">
        <v>530.70000000000005</v>
      </c>
      <c r="AV29" s="80">
        <f t="shared" ref="AV29" si="180">AU29/$C29</f>
        <v>24.764349043397111</v>
      </c>
      <c r="AW29" s="81">
        <v>592.6</v>
      </c>
      <c r="AX29" s="71">
        <f t="shared" si="19"/>
        <v>27.652823145123659</v>
      </c>
      <c r="AY29" s="72">
        <v>603.9</v>
      </c>
      <c r="AZ29" s="80">
        <f t="shared" ref="AZ29" si="181">AY29/$C29</f>
        <v>28.180121325244983</v>
      </c>
      <c r="BA29" s="151">
        <f>ROUNDDOWN(C29*BB29,1)</f>
        <v>577.1</v>
      </c>
      <c r="BB29" s="80">
        <f>RCF!I$41</f>
        <v>26.931999999999999</v>
      </c>
    </row>
    <row r="30" spans="1:54" x14ac:dyDescent="0.2">
      <c r="A30" s="84"/>
      <c r="B30" s="85"/>
      <c r="C30" s="86"/>
      <c r="D30" s="86"/>
      <c r="E30" s="87"/>
      <c r="F30" s="86"/>
      <c r="G30" s="87"/>
      <c r="H30" s="86"/>
      <c r="I30" s="87"/>
      <c r="J30" s="88"/>
      <c r="K30" s="88"/>
      <c r="L30" s="88"/>
      <c r="M30" s="88"/>
      <c r="N30" s="88"/>
      <c r="O30" s="88"/>
      <c r="P30" s="88"/>
      <c r="Q30" s="86"/>
      <c r="R30" s="87"/>
      <c r="S30" s="88"/>
      <c r="T30" s="88"/>
      <c r="U30" s="86"/>
      <c r="V30" s="87"/>
      <c r="W30" s="86"/>
      <c r="X30" s="87"/>
      <c r="Y30" s="89"/>
      <c r="Z30" s="89"/>
      <c r="AA30" s="89"/>
      <c r="AB30" s="89"/>
      <c r="AC30" s="89"/>
      <c r="AD30" s="89"/>
      <c r="AE30" s="86"/>
      <c r="AF30" s="87"/>
      <c r="AG30" s="88"/>
      <c r="AH30" s="88"/>
      <c r="AI30" s="88"/>
      <c r="AJ30" s="86"/>
      <c r="AK30" s="87"/>
      <c r="AL30" s="86"/>
      <c r="AM30" s="87"/>
      <c r="AN30" s="86"/>
      <c r="AO30" s="87"/>
      <c r="AP30" s="88"/>
      <c r="AQ30" s="86"/>
      <c r="AR30" s="87"/>
      <c r="AS30" s="88"/>
      <c r="AT30" s="88"/>
      <c r="AU30" s="86"/>
      <c r="AV30" s="87"/>
      <c r="AW30" s="86"/>
      <c r="AX30" s="87"/>
      <c r="AY30" s="86"/>
      <c r="AZ30" s="87"/>
      <c r="BA30" s="86"/>
      <c r="BB30" s="87"/>
    </row>
    <row r="31" spans="1:54" x14ac:dyDescent="0.2">
      <c r="A31" s="48"/>
      <c r="B31" s="49" t="s">
        <v>26</v>
      </c>
      <c r="C31" s="50"/>
      <c r="D31" s="51"/>
      <c r="E31" s="52"/>
      <c r="F31" s="51"/>
      <c r="G31" s="52"/>
      <c r="H31" s="51"/>
      <c r="I31" s="52"/>
      <c r="J31" s="52"/>
      <c r="K31" s="52"/>
      <c r="L31" s="52"/>
      <c r="M31" s="52"/>
      <c r="N31" s="52"/>
      <c r="O31" s="52"/>
      <c r="P31" s="52"/>
      <c r="Q31" s="53"/>
      <c r="R31" s="52"/>
      <c r="S31" s="52"/>
      <c r="T31" s="52"/>
      <c r="U31" s="53"/>
      <c r="V31" s="52"/>
      <c r="W31" s="53"/>
      <c r="X31" s="52"/>
      <c r="Y31" s="54"/>
      <c r="Z31" s="54"/>
      <c r="AA31" s="55"/>
      <c r="AB31" s="55"/>
      <c r="AC31" s="55"/>
      <c r="AD31" s="55"/>
      <c r="AE31" s="53"/>
      <c r="AF31" s="52"/>
      <c r="AG31" s="51"/>
      <c r="AH31" s="51"/>
      <c r="AI31" s="56"/>
      <c r="AJ31" s="51"/>
      <c r="AK31" s="51"/>
      <c r="AL31" s="51"/>
      <c r="AM31" s="51"/>
      <c r="AN31" s="51"/>
      <c r="AO31" s="51"/>
      <c r="AP31" s="56"/>
      <c r="AQ31" s="52"/>
      <c r="AR31" s="52"/>
      <c r="AS31" s="51"/>
      <c r="AT31" s="56"/>
      <c r="AU31" s="52"/>
      <c r="AV31" s="52"/>
      <c r="AW31" s="51"/>
      <c r="AX31" s="52"/>
      <c r="AY31" s="52"/>
      <c r="AZ31" s="52"/>
      <c r="BA31" s="52"/>
      <c r="BB31" s="152"/>
    </row>
    <row r="32" spans="1:54" x14ac:dyDescent="0.2">
      <c r="A32" s="90"/>
      <c r="B32" s="91"/>
      <c r="C32" s="92"/>
      <c r="D32" s="62"/>
      <c r="E32" s="93"/>
      <c r="F32" s="62"/>
      <c r="G32" s="93"/>
      <c r="H32" s="62"/>
      <c r="I32" s="93"/>
      <c r="J32" s="94"/>
      <c r="K32" s="94"/>
      <c r="L32" s="94"/>
      <c r="M32" s="94"/>
      <c r="N32" s="94"/>
      <c r="O32" s="94"/>
      <c r="P32" s="94"/>
      <c r="Q32" s="62"/>
      <c r="R32" s="93"/>
      <c r="S32" s="94"/>
      <c r="T32" s="94"/>
      <c r="U32" s="62"/>
      <c r="V32" s="93"/>
      <c r="W32" s="62"/>
      <c r="X32" s="93"/>
      <c r="Y32" s="95"/>
      <c r="Z32" s="95"/>
      <c r="AA32" s="95"/>
      <c r="AB32" s="95"/>
      <c r="AC32" s="95"/>
      <c r="AD32" s="95"/>
      <c r="AE32" s="62"/>
      <c r="AF32" s="93"/>
      <c r="AG32" s="94"/>
      <c r="AH32" s="94"/>
      <c r="AI32" s="94"/>
      <c r="AJ32" s="62"/>
      <c r="AK32" s="93"/>
      <c r="AL32" s="62"/>
      <c r="AM32" s="93"/>
      <c r="AN32" s="62"/>
      <c r="AO32" s="93"/>
      <c r="AP32" s="94"/>
      <c r="AQ32" s="62"/>
      <c r="AR32" s="93"/>
      <c r="AS32" s="94"/>
      <c r="AT32" s="94"/>
      <c r="AU32" s="62"/>
      <c r="AV32" s="93"/>
      <c r="AW32" s="62"/>
      <c r="AX32" s="93"/>
      <c r="AY32" s="62"/>
      <c r="AZ32" s="93"/>
      <c r="BA32" s="62"/>
      <c r="BB32" s="93"/>
    </row>
    <row r="33" spans="1:54" s="97" customFormat="1" x14ac:dyDescent="0.2">
      <c r="A33" s="96" t="s">
        <v>27</v>
      </c>
      <c r="B33" s="79" t="s">
        <v>28</v>
      </c>
      <c r="C33" s="72">
        <v>7</v>
      </c>
      <c r="D33" s="72">
        <f t="shared" ref="D33:D66" si="182">ROUND(E33*C33,1)</f>
        <v>447.9</v>
      </c>
      <c r="E33" s="80">
        <f>RCF!C$43</f>
        <v>63.983120993999997</v>
      </c>
      <c r="F33" s="81">
        <f t="shared" ref="F33:F47" si="183">ROUNDDOWN($C33*G33,1)</f>
        <v>116.9</v>
      </c>
      <c r="G33" s="80">
        <f>RCF!C$5</f>
        <v>16.707999999999998</v>
      </c>
      <c r="H33" s="81">
        <f t="shared" ref="H33:H47" si="184">ROUNDDOWN($C33*I33,1)</f>
        <v>116.9</v>
      </c>
      <c r="I33" s="80">
        <f t="shared" ref="I33:I47" si="185">G33</f>
        <v>16.707999999999998</v>
      </c>
      <c r="J33" s="82">
        <f t="shared" ref="J33:P47" si="186">ROUND($C33*$I33*J$6,1)</f>
        <v>128.69999999999999</v>
      </c>
      <c r="K33" s="82">
        <f t="shared" si="186"/>
        <v>160.19999999999999</v>
      </c>
      <c r="L33" s="82">
        <f t="shared" si="186"/>
        <v>171.9</v>
      </c>
      <c r="M33" s="82">
        <f t="shared" si="186"/>
        <v>189.5</v>
      </c>
      <c r="N33" s="82">
        <f t="shared" si="186"/>
        <v>233.9</v>
      </c>
      <c r="O33" s="82">
        <f t="shared" si="186"/>
        <v>251.5</v>
      </c>
      <c r="P33" s="82">
        <f t="shared" si="186"/>
        <v>350.9</v>
      </c>
      <c r="Q33" s="81">
        <f t="shared" ref="Q33:Q47" si="187">ROUNDDOWN($C33*R33,1)</f>
        <v>115.1</v>
      </c>
      <c r="R33" s="80">
        <f>RCF!C$7</f>
        <v>16.45</v>
      </c>
      <c r="S33" s="82">
        <f t="shared" ref="S33:T49" si="188">ROUNDDOWN($Q33*S$6,1)</f>
        <v>149.6</v>
      </c>
      <c r="T33" s="82">
        <f t="shared" si="188"/>
        <v>172.6</v>
      </c>
      <c r="U33" s="81">
        <f t="shared" ref="U33:U47" si="189">ROUNDDOWN($C33*V33,1)</f>
        <v>113.3</v>
      </c>
      <c r="V33" s="80">
        <f>RCF!C$9</f>
        <v>16.192</v>
      </c>
      <c r="W33" s="81">
        <f t="shared" ref="W33:W47" si="190">ROUNDDOWN($C33*X33,1)</f>
        <v>113.3</v>
      </c>
      <c r="X33" s="80">
        <f t="shared" ref="X33:X47" si="191">V33</f>
        <v>16.192</v>
      </c>
      <c r="Y33" s="82">
        <f t="shared" ref="Y33:AD49" si="192">ROUNDDOWN($W33*Y$6,1)</f>
        <v>124.6</v>
      </c>
      <c r="Z33" s="82">
        <f t="shared" si="192"/>
        <v>155.19999999999999</v>
      </c>
      <c r="AA33" s="82">
        <f t="shared" si="192"/>
        <v>183.5</v>
      </c>
      <c r="AB33" s="82">
        <f t="shared" si="192"/>
        <v>166.5</v>
      </c>
      <c r="AC33" s="82">
        <f t="shared" si="192"/>
        <v>245.8</v>
      </c>
      <c r="AD33" s="82">
        <f t="shared" si="192"/>
        <v>339.9</v>
      </c>
      <c r="AE33" s="81">
        <f t="shared" ref="AE33:AE47" si="193">ROUNDDOWN($C33*AF33,1)</f>
        <v>108.6</v>
      </c>
      <c r="AF33" s="80">
        <f>RCF!C$13</f>
        <v>15.52</v>
      </c>
      <c r="AG33" s="77">
        <f t="shared" ref="AG33:AI53" si="194">ROUND($AE33*AG$6,1)</f>
        <v>179.2</v>
      </c>
      <c r="AH33" s="77">
        <f t="shared" si="194"/>
        <v>228.1</v>
      </c>
      <c r="AI33" s="77">
        <f t="shared" si="194"/>
        <v>325.8</v>
      </c>
      <c r="AJ33" s="81">
        <f t="shared" ref="AJ33:AJ47" si="195">ROUNDDOWN($C33*AK33,1)</f>
        <v>114.8</v>
      </c>
      <c r="AK33" s="80">
        <f>RCF!C$25</f>
        <v>16.413333333333334</v>
      </c>
      <c r="AL33" s="81">
        <f t="shared" ref="AL33:AL47" si="196">ROUNDDOWN($C33*AM33,1)</f>
        <v>154.6</v>
      </c>
      <c r="AM33" s="80">
        <f>RCF!C$59</f>
        <v>22.086666666666666</v>
      </c>
      <c r="AN33" s="81">
        <f t="shared" ref="AN33:AN47" si="197">ROUNDDOWN($C33*AO33,1)</f>
        <v>123.4</v>
      </c>
      <c r="AO33" s="80">
        <f>RCF!C$33</f>
        <v>17.632999999999999</v>
      </c>
      <c r="AP33" s="77">
        <f t="shared" ref="AP33:AP47" si="198">ROUNDDOWN($AN33*AP$6,1)</f>
        <v>185.1</v>
      </c>
      <c r="AQ33" s="81">
        <f t="shared" ref="AQ33:AQ47" si="199">ROUNDDOWN($C33*AR33,1)</f>
        <v>122</v>
      </c>
      <c r="AR33" s="80">
        <f>RCF!C$35</f>
        <v>17.43</v>
      </c>
      <c r="AS33" s="77">
        <f t="shared" ref="AS33:AT47" si="200">ROUNDDOWN($AQ33*AS$6,1)</f>
        <v>158.6</v>
      </c>
      <c r="AT33" s="77">
        <f t="shared" si="200"/>
        <v>176.9</v>
      </c>
      <c r="AU33" s="81">
        <f t="shared" ref="AU33:AU47" si="201">ROUNDDOWN($C33*AV33,1)</f>
        <v>119.6</v>
      </c>
      <c r="AV33" s="80">
        <f>RCF!C$37</f>
        <v>17.09</v>
      </c>
      <c r="AW33" s="81">
        <f>ROUNDDOWN(AX33*C33,1)</f>
        <v>119.8</v>
      </c>
      <c r="AX33" s="80">
        <f>RCF!C$64</f>
        <v>17.125999999999998</v>
      </c>
      <c r="AY33" s="81">
        <f t="shared" ref="AY33:AY47" si="202">ROUNDDOWN($C33*AZ33,1)</f>
        <v>122.1</v>
      </c>
      <c r="AZ33" s="80">
        <f>RCF!C$39</f>
        <v>17.45</v>
      </c>
      <c r="BA33" s="81">
        <f t="shared" ref="BA33:BA47" si="203">ROUNDDOWN($C33*BB33,1)</f>
        <v>116.7</v>
      </c>
      <c r="BB33" s="80">
        <f>RCF!C$41</f>
        <v>16.678999999999998</v>
      </c>
    </row>
    <row r="34" spans="1:54" s="97" customFormat="1" x14ac:dyDescent="0.2">
      <c r="A34" s="98" t="s">
        <v>29</v>
      </c>
      <c r="B34" s="79" t="s">
        <v>30</v>
      </c>
      <c r="C34" s="72">
        <v>7</v>
      </c>
      <c r="D34" s="72">
        <f t="shared" si="182"/>
        <v>447.9</v>
      </c>
      <c r="E34" s="80">
        <f>RCF!C$43</f>
        <v>63.983120993999997</v>
      </c>
      <c r="F34" s="81">
        <f t="shared" si="183"/>
        <v>116.9</v>
      </c>
      <c r="G34" s="80">
        <f>RCF!C$5</f>
        <v>16.707999999999998</v>
      </c>
      <c r="H34" s="81">
        <f t="shared" si="184"/>
        <v>116.9</v>
      </c>
      <c r="I34" s="80">
        <f t="shared" si="185"/>
        <v>16.707999999999998</v>
      </c>
      <c r="J34" s="82">
        <f t="shared" si="186"/>
        <v>128.69999999999999</v>
      </c>
      <c r="K34" s="82">
        <f t="shared" si="186"/>
        <v>160.19999999999999</v>
      </c>
      <c r="L34" s="82">
        <f t="shared" si="186"/>
        <v>171.9</v>
      </c>
      <c r="M34" s="82">
        <f t="shared" si="186"/>
        <v>189.5</v>
      </c>
      <c r="N34" s="82">
        <f t="shared" si="186"/>
        <v>233.9</v>
      </c>
      <c r="O34" s="82">
        <f t="shared" si="186"/>
        <v>251.5</v>
      </c>
      <c r="P34" s="82">
        <f t="shared" si="186"/>
        <v>350.9</v>
      </c>
      <c r="Q34" s="81">
        <f t="shared" si="187"/>
        <v>115.1</v>
      </c>
      <c r="R34" s="80">
        <f>RCF!C$7</f>
        <v>16.45</v>
      </c>
      <c r="S34" s="82">
        <f t="shared" si="188"/>
        <v>149.6</v>
      </c>
      <c r="T34" s="82">
        <f t="shared" si="188"/>
        <v>172.6</v>
      </c>
      <c r="U34" s="81">
        <f t="shared" si="189"/>
        <v>113.3</v>
      </c>
      <c r="V34" s="80">
        <f>RCF!C$9</f>
        <v>16.192</v>
      </c>
      <c r="W34" s="81">
        <f t="shared" si="190"/>
        <v>113.3</v>
      </c>
      <c r="X34" s="80">
        <f t="shared" si="191"/>
        <v>16.192</v>
      </c>
      <c r="Y34" s="82">
        <f t="shared" si="192"/>
        <v>124.6</v>
      </c>
      <c r="Z34" s="82">
        <f t="shared" si="192"/>
        <v>155.19999999999999</v>
      </c>
      <c r="AA34" s="82">
        <f t="shared" si="192"/>
        <v>183.5</v>
      </c>
      <c r="AB34" s="82">
        <f t="shared" si="192"/>
        <v>166.5</v>
      </c>
      <c r="AC34" s="82">
        <f t="shared" si="192"/>
        <v>245.8</v>
      </c>
      <c r="AD34" s="82">
        <f t="shared" si="192"/>
        <v>339.9</v>
      </c>
      <c r="AE34" s="81">
        <f t="shared" si="193"/>
        <v>108.6</v>
      </c>
      <c r="AF34" s="80">
        <f>RCF!C$13</f>
        <v>15.52</v>
      </c>
      <c r="AG34" s="77">
        <f t="shared" si="194"/>
        <v>179.2</v>
      </c>
      <c r="AH34" s="77">
        <f t="shared" si="194"/>
        <v>228.1</v>
      </c>
      <c r="AI34" s="77">
        <f t="shared" si="194"/>
        <v>325.8</v>
      </c>
      <c r="AJ34" s="81">
        <f t="shared" si="195"/>
        <v>114.8</v>
      </c>
      <c r="AK34" s="80">
        <f>RCF!C$25</f>
        <v>16.413333333333334</v>
      </c>
      <c r="AL34" s="81">
        <f t="shared" si="196"/>
        <v>154.6</v>
      </c>
      <c r="AM34" s="80">
        <f>RCF!C$59</f>
        <v>22.086666666666666</v>
      </c>
      <c r="AN34" s="81">
        <f t="shared" si="197"/>
        <v>123.4</v>
      </c>
      <c r="AO34" s="80">
        <f>RCF!C$33</f>
        <v>17.632999999999999</v>
      </c>
      <c r="AP34" s="77">
        <f t="shared" si="198"/>
        <v>185.1</v>
      </c>
      <c r="AQ34" s="81">
        <f t="shared" si="199"/>
        <v>122</v>
      </c>
      <c r="AR34" s="80">
        <f>RCF!C$35</f>
        <v>17.43</v>
      </c>
      <c r="AS34" s="77">
        <f t="shared" si="200"/>
        <v>158.6</v>
      </c>
      <c r="AT34" s="77">
        <f t="shared" si="200"/>
        <v>176.9</v>
      </c>
      <c r="AU34" s="81">
        <f t="shared" si="201"/>
        <v>119.6</v>
      </c>
      <c r="AV34" s="80">
        <f>RCF!C$37</f>
        <v>17.09</v>
      </c>
      <c r="AW34" s="81">
        <f t="shared" ref="AW34:AW84" si="204">ROUNDDOWN(AX34*C34,1)</f>
        <v>119.8</v>
      </c>
      <c r="AX34" s="80">
        <f>RCF!C$64</f>
        <v>17.125999999999998</v>
      </c>
      <c r="AY34" s="81">
        <f t="shared" si="202"/>
        <v>122.1</v>
      </c>
      <c r="AZ34" s="80">
        <f>RCF!C$39</f>
        <v>17.45</v>
      </c>
      <c r="BA34" s="81">
        <f t="shared" si="203"/>
        <v>116.7</v>
      </c>
      <c r="BB34" s="80">
        <f>RCF!C$41</f>
        <v>16.678999999999998</v>
      </c>
    </row>
    <row r="35" spans="1:54" s="97" customFormat="1" x14ac:dyDescent="0.2">
      <c r="A35" s="98" t="s">
        <v>31</v>
      </c>
      <c r="B35" s="99" t="s">
        <v>32</v>
      </c>
      <c r="C35" s="72">
        <v>7</v>
      </c>
      <c r="D35" s="72">
        <f t="shared" si="182"/>
        <v>447.9</v>
      </c>
      <c r="E35" s="80">
        <f>RCF!C$43</f>
        <v>63.983120993999997</v>
      </c>
      <c r="F35" s="81">
        <f t="shared" si="183"/>
        <v>116.9</v>
      </c>
      <c r="G35" s="80">
        <f>RCF!C$5</f>
        <v>16.707999999999998</v>
      </c>
      <c r="H35" s="81">
        <f t="shared" si="184"/>
        <v>116.9</v>
      </c>
      <c r="I35" s="80">
        <f t="shared" si="185"/>
        <v>16.707999999999998</v>
      </c>
      <c r="J35" s="82">
        <f t="shared" si="186"/>
        <v>128.69999999999999</v>
      </c>
      <c r="K35" s="82">
        <f t="shared" si="186"/>
        <v>160.19999999999999</v>
      </c>
      <c r="L35" s="82">
        <f t="shared" si="186"/>
        <v>171.9</v>
      </c>
      <c r="M35" s="82">
        <f t="shared" si="186"/>
        <v>189.5</v>
      </c>
      <c r="N35" s="82">
        <f t="shared" si="186"/>
        <v>233.9</v>
      </c>
      <c r="O35" s="82">
        <f t="shared" si="186"/>
        <v>251.5</v>
      </c>
      <c r="P35" s="82">
        <f t="shared" si="186"/>
        <v>350.9</v>
      </c>
      <c r="Q35" s="81">
        <f t="shared" si="187"/>
        <v>115.1</v>
      </c>
      <c r="R35" s="80">
        <f>RCF!C$7</f>
        <v>16.45</v>
      </c>
      <c r="S35" s="82">
        <f t="shared" si="188"/>
        <v>149.6</v>
      </c>
      <c r="T35" s="82">
        <f t="shared" si="188"/>
        <v>172.6</v>
      </c>
      <c r="U35" s="81">
        <f t="shared" si="189"/>
        <v>113.3</v>
      </c>
      <c r="V35" s="80">
        <f>RCF!C$9</f>
        <v>16.192</v>
      </c>
      <c r="W35" s="81">
        <f t="shared" si="190"/>
        <v>113.3</v>
      </c>
      <c r="X35" s="80">
        <f t="shared" si="191"/>
        <v>16.192</v>
      </c>
      <c r="Y35" s="82">
        <f t="shared" si="192"/>
        <v>124.6</v>
      </c>
      <c r="Z35" s="82">
        <f t="shared" si="192"/>
        <v>155.19999999999999</v>
      </c>
      <c r="AA35" s="82">
        <f t="shared" si="192"/>
        <v>183.5</v>
      </c>
      <c r="AB35" s="82">
        <f t="shared" si="192"/>
        <v>166.5</v>
      </c>
      <c r="AC35" s="82">
        <f t="shared" si="192"/>
        <v>245.8</v>
      </c>
      <c r="AD35" s="82">
        <f t="shared" si="192"/>
        <v>339.9</v>
      </c>
      <c r="AE35" s="81">
        <f t="shared" si="193"/>
        <v>108.6</v>
      </c>
      <c r="AF35" s="80">
        <f>RCF!C$13</f>
        <v>15.52</v>
      </c>
      <c r="AG35" s="77">
        <f t="shared" si="194"/>
        <v>179.2</v>
      </c>
      <c r="AH35" s="77">
        <f t="shared" si="194"/>
        <v>228.1</v>
      </c>
      <c r="AI35" s="77">
        <f t="shared" si="194"/>
        <v>325.8</v>
      </c>
      <c r="AJ35" s="81">
        <f t="shared" si="195"/>
        <v>114.8</v>
      </c>
      <c r="AK35" s="80">
        <f>RCF!C$25</f>
        <v>16.413333333333334</v>
      </c>
      <c r="AL35" s="81">
        <f t="shared" si="196"/>
        <v>154.6</v>
      </c>
      <c r="AM35" s="80">
        <f>RCF!C$59</f>
        <v>22.086666666666666</v>
      </c>
      <c r="AN35" s="81">
        <f t="shared" si="197"/>
        <v>123.4</v>
      </c>
      <c r="AO35" s="80">
        <f>RCF!C$33</f>
        <v>17.632999999999999</v>
      </c>
      <c r="AP35" s="77">
        <f t="shared" si="198"/>
        <v>185.1</v>
      </c>
      <c r="AQ35" s="81">
        <f t="shared" si="199"/>
        <v>122</v>
      </c>
      <c r="AR35" s="80">
        <f>RCF!C$35</f>
        <v>17.43</v>
      </c>
      <c r="AS35" s="77">
        <f t="shared" si="200"/>
        <v>158.6</v>
      </c>
      <c r="AT35" s="77">
        <f t="shared" si="200"/>
        <v>176.9</v>
      </c>
      <c r="AU35" s="81">
        <f t="shared" si="201"/>
        <v>119.6</v>
      </c>
      <c r="AV35" s="80">
        <f>RCF!C$37</f>
        <v>17.09</v>
      </c>
      <c r="AW35" s="81">
        <f t="shared" si="204"/>
        <v>119.8</v>
      </c>
      <c r="AX35" s="80">
        <f>RCF!C$64</f>
        <v>17.125999999999998</v>
      </c>
      <c r="AY35" s="81">
        <f t="shared" si="202"/>
        <v>122.1</v>
      </c>
      <c r="AZ35" s="80">
        <f>RCF!C$39</f>
        <v>17.45</v>
      </c>
      <c r="BA35" s="81">
        <f t="shared" si="203"/>
        <v>116.7</v>
      </c>
      <c r="BB35" s="80">
        <f>RCF!C$41</f>
        <v>16.678999999999998</v>
      </c>
    </row>
    <row r="36" spans="1:54" s="97" customFormat="1" x14ac:dyDescent="0.2">
      <c r="A36" s="100" t="s">
        <v>114</v>
      </c>
      <c r="B36" s="79" t="s">
        <v>33</v>
      </c>
      <c r="C36" s="72">
        <v>11.68</v>
      </c>
      <c r="D36" s="101">
        <f t="shared" si="182"/>
        <v>194.8</v>
      </c>
      <c r="E36" s="102">
        <f>BB36</f>
        <v>16.678999999999998</v>
      </c>
      <c r="F36" s="81">
        <f t="shared" si="183"/>
        <v>195.1</v>
      </c>
      <c r="G36" s="80">
        <f>RCF!C$5</f>
        <v>16.707999999999998</v>
      </c>
      <c r="H36" s="81">
        <f t="shared" si="184"/>
        <v>195.1</v>
      </c>
      <c r="I36" s="80">
        <f t="shared" si="185"/>
        <v>16.707999999999998</v>
      </c>
      <c r="J36" s="82">
        <f t="shared" si="186"/>
        <v>214.7</v>
      </c>
      <c r="K36" s="82">
        <f t="shared" si="186"/>
        <v>267.39999999999998</v>
      </c>
      <c r="L36" s="82">
        <f t="shared" si="186"/>
        <v>286.89999999999998</v>
      </c>
      <c r="M36" s="82">
        <f t="shared" si="186"/>
        <v>316.10000000000002</v>
      </c>
      <c r="N36" s="82">
        <f t="shared" si="186"/>
        <v>390.3</v>
      </c>
      <c r="O36" s="82">
        <f t="shared" si="186"/>
        <v>419.6</v>
      </c>
      <c r="P36" s="82">
        <f t="shared" si="186"/>
        <v>585.4</v>
      </c>
      <c r="Q36" s="81">
        <f t="shared" si="187"/>
        <v>192.1</v>
      </c>
      <c r="R36" s="80">
        <f>RCF!C$7</f>
        <v>16.45</v>
      </c>
      <c r="S36" s="82">
        <f t="shared" si="188"/>
        <v>249.7</v>
      </c>
      <c r="T36" s="82">
        <f t="shared" si="188"/>
        <v>288.10000000000002</v>
      </c>
      <c r="U36" s="81">
        <f t="shared" si="189"/>
        <v>189.1</v>
      </c>
      <c r="V36" s="80">
        <f>RCF!C$9</f>
        <v>16.192</v>
      </c>
      <c r="W36" s="81">
        <f t="shared" si="190"/>
        <v>189.1</v>
      </c>
      <c r="X36" s="80">
        <f t="shared" si="191"/>
        <v>16.192</v>
      </c>
      <c r="Y36" s="82">
        <f t="shared" si="192"/>
        <v>208</v>
      </c>
      <c r="Z36" s="82">
        <f t="shared" si="192"/>
        <v>259</v>
      </c>
      <c r="AA36" s="82">
        <f t="shared" si="192"/>
        <v>306.3</v>
      </c>
      <c r="AB36" s="82">
        <f t="shared" si="192"/>
        <v>277.89999999999998</v>
      </c>
      <c r="AC36" s="82">
        <f t="shared" si="192"/>
        <v>410.3</v>
      </c>
      <c r="AD36" s="82">
        <f t="shared" si="192"/>
        <v>567.29999999999995</v>
      </c>
      <c r="AE36" s="81">
        <f t="shared" si="193"/>
        <v>181.2</v>
      </c>
      <c r="AF36" s="80">
        <f>RCF!C$13</f>
        <v>15.52</v>
      </c>
      <c r="AG36" s="77">
        <f t="shared" si="194"/>
        <v>299</v>
      </c>
      <c r="AH36" s="77">
        <f t="shared" si="194"/>
        <v>380.5</v>
      </c>
      <c r="AI36" s="77">
        <f t="shared" si="194"/>
        <v>543.6</v>
      </c>
      <c r="AJ36" s="81">
        <f t="shared" si="195"/>
        <v>191.7</v>
      </c>
      <c r="AK36" s="80">
        <f>RCF!C$25</f>
        <v>16.413333333333334</v>
      </c>
      <c r="AL36" s="81">
        <f t="shared" si="196"/>
        <v>257.89999999999998</v>
      </c>
      <c r="AM36" s="80">
        <f>RCF!C$59</f>
        <v>22.086666666666666</v>
      </c>
      <c r="AN36" s="81">
        <f t="shared" si="197"/>
        <v>205.9</v>
      </c>
      <c r="AO36" s="80">
        <f>RCF!C$33</f>
        <v>17.632999999999999</v>
      </c>
      <c r="AP36" s="77">
        <f t="shared" si="198"/>
        <v>308.8</v>
      </c>
      <c r="AQ36" s="81">
        <f t="shared" si="199"/>
        <v>203.5</v>
      </c>
      <c r="AR36" s="80">
        <f>RCF!C$35</f>
        <v>17.43</v>
      </c>
      <c r="AS36" s="77">
        <f t="shared" si="200"/>
        <v>264.5</v>
      </c>
      <c r="AT36" s="77">
        <f t="shared" si="200"/>
        <v>295</v>
      </c>
      <c r="AU36" s="81">
        <f t="shared" si="201"/>
        <v>199.6</v>
      </c>
      <c r="AV36" s="80">
        <f>RCF!C$37</f>
        <v>17.09</v>
      </c>
      <c r="AW36" s="81">
        <f t="shared" si="204"/>
        <v>200</v>
      </c>
      <c r="AX36" s="80">
        <f>RCF!C$64</f>
        <v>17.125999999999998</v>
      </c>
      <c r="AY36" s="81">
        <f t="shared" si="202"/>
        <v>203.8</v>
      </c>
      <c r="AZ36" s="80">
        <f>RCF!C$39</f>
        <v>17.45</v>
      </c>
      <c r="BA36" s="81">
        <f t="shared" si="203"/>
        <v>194.8</v>
      </c>
      <c r="BB36" s="80">
        <f>RCF!C$41</f>
        <v>16.678999999999998</v>
      </c>
    </row>
    <row r="37" spans="1:54" s="97" customFormat="1" x14ac:dyDescent="0.2">
      <c r="A37" s="98" t="s">
        <v>34</v>
      </c>
      <c r="B37" s="79" t="s">
        <v>35</v>
      </c>
      <c r="C37" s="72">
        <v>12</v>
      </c>
      <c r="D37" s="72">
        <f t="shared" si="182"/>
        <v>767.8</v>
      </c>
      <c r="E37" s="80">
        <f>RCF!C$43</f>
        <v>63.983120993999997</v>
      </c>
      <c r="F37" s="81">
        <f t="shared" si="183"/>
        <v>200.4</v>
      </c>
      <c r="G37" s="80">
        <f>RCF!C$5</f>
        <v>16.707999999999998</v>
      </c>
      <c r="H37" s="81">
        <f t="shared" si="184"/>
        <v>200.4</v>
      </c>
      <c r="I37" s="80">
        <f t="shared" si="185"/>
        <v>16.707999999999998</v>
      </c>
      <c r="J37" s="82">
        <f t="shared" si="186"/>
        <v>220.5</v>
      </c>
      <c r="K37" s="82">
        <f t="shared" si="186"/>
        <v>274.7</v>
      </c>
      <c r="L37" s="82">
        <f t="shared" si="186"/>
        <v>294.7</v>
      </c>
      <c r="M37" s="82">
        <f t="shared" si="186"/>
        <v>324.8</v>
      </c>
      <c r="N37" s="82">
        <f t="shared" si="186"/>
        <v>401</v>
      </c>
      <c r="O37" s="82">
        <f t="shared" si="186"/>
        <v>431.1</v>
      </c>
      <c r="P37" s="82">
        <f t="shared" si="186"/>
        <v>601.5</v>
      </c>
      <c r="Q37" s="81">
        <f t="shared" si="187"/>
        <v>197.4</v>
      </c>
      <c r="R37" s="80">
        <f>RCF!C$7</f>
        <v>16.45</v>
      </c>
      <c r="S37" s="82">
        <f t="shared" si="188"/>
        <v>256.60000000000002</v>
      </c>
      <c r="T37" s="82">
        <f t="shared" si="188"/>
        <v>296.10000000000002</v>
      </c>
      <c r="U37" s="81">
        <f t="shared" si="189"/>
        <v>194.3</v>
      </c>
      <c r="V37" s="80">
        <f>RCF!C$9</f>
        <v>16.192</v>
      </c>
      <c r="W37" s="81">
        <f t="shared" si="190"/>
        <v>194.3</v>
      </c>
      <c r="X37" s="80">
        <f t="shared" si="191"/>
        <v>16.192</v>
      </c>
      <c r="Y37" s="82">
        <f t="shared" si="192"/>
        <v>213.7</v>
      </c>
      <c r="Z37" s="82">
        <f t="shared" si="192"/>
        <v>266.10000000000002</v>
      </c>
      <c r="AA37" s="82">
        <f t="shared" si="192"/>
        <v>314.7</v>
      </c>
      <c r="AB37" s="82">
        <f t="shared" si="192"/>
        <v>285.60000000000002</v>
      </c>
      <c r="AC37" s="82">
        <f t="shared" si="192"/>
        <v>421.6</v>
      </c>
      <c r="AD37" s="82">
        <f t="shared" si="192"/>
        <v>582.9</v>
      </c>
      <c r="AE37" s="81">
        <f t="shared" si="193"/>
        <v>186.2</v>
      </c>
      <c r="AF37" s="80">
        <f>RCF!C$13</f>
        <v>15.52</v>
      </c>
      <c r="AG37" s="77">
        <f t="shared" si="194"/>
        <v>307.2</v>
      </c>
      <c r="AH37" s="77">
        <f t="shared" si="194"/>
        <v>391</v>
      </c>
      <c r="AI37" s="77">
        <f t="shared" si="194"/>
        <v>558.6</v>
      </c>
      <c r="AJ37" s="81">
        <f t="shared" si="195"/>
        <v>196.9</v>
      </c>
      <c r="AK37" s="80">
        <f>RCF!C$25</f>
        <v>16.413333333333334</v>
      </c>
      <c r="AL37" s="81">
        <f t="shared" si="196"/>
        <v>265</v>
      </c>
      <c r="AM37" s="80">
        <f>RCF!C$59</f>
        <v>22.086666666666666</v>
      </c>
      <c r="AN37" s="81">
        <f t="shared" si="197"/>
        <v>211.5</v>
      </c>
      <c r="AO37" s="80">
        <f>RCF!C$33</f>
        <v>17.632999999999999</v>
      </c>
      <c r="AP37" s="77">
        <f t="shared" si="198"/>
        <v>317.2</v>
      </c>
      <c r="AQ37" s="81">
        <f t="shared" si="199"/>
        <v>209.1</v>
      </c>
      <c r="AR37" s="80">
        <f>RCF!C$35</f>
        <v>17.43</v>
      </c>
      <c r="AS37" s="77">
        <f t="shared" si="200"/>
        <v>271.8</v>
      </c>
      <c r="AT37" s="77">
        <f t="shared" si="200"/>
        <v>303.10000000000002</v>
      </c>
      <c r="AU37" s="81">
        <f t="shared" si="201"/>
        <v>205</v>
      </c>
      <c r="AV37" s="80">
        <f>RCF!C$37</f>
        <v>17.09</v>
      </c>
      <c r="AW37" s="81">
        <f t="shared" si="204"/>
        <v>205.5</v>
      </c>
      <c r="AX37" s="80">
        <f>RCF!C$64</f>
        <v>17.125999999999998</v>
      </c>
      <c r="AY37" s="81">
        <f t="shared" si="202"/>
        <v>209.4</v>
      </c>
      <c r="AZ37" s="80">
        <f>RCF!C$39</f>
        <v>17.45</v>
      </c>
      <c r="BA37" s="81">
        <f t="shared" si="203"/>
        <v>200.1</v>
      </c>
      <c r="BB37" s="80">
        <f>RCF!C$41</f>
        <v>16.678999999999998</v>
      </c>
    </row>
    <row r="38" spans="1:54" s="97" customFormat="1" x14ac:dyDescent="0.2">
      <c r="A38" s="98" t="s">
        <v>36</v>
      </c>
      <c r="B38" s="79" t="s">
        <v>37</v>
      </c>
      <c r="C38" s="72">
        <v>7</v>
      </c>
      <c r="D38" s="72">
        <f t="shared" si="182"/>
        <v>447.9</v>
      </c>
      <c r="E38" s="80">
        <f>RCF!C$43</f>
        <v>63.983120993999997</v>
      </c>
      <c r="F38" s="81">
        <f t="shared" si="183"/>
        <v>116.9</v>
      </c>
      <c r="G38" s="80">
        <f>RCF!C$5</f>
        <v>16.707999999999998</v>
      </c>
      <c r="H38" s="81">
        <f t="shared" si="184"/>
        <v>116.9</v>
      </c>
      <c r="I38" s="80">
        <f t="shared" si="185"/>
        <v>16.707999999999998</v>
      </c>
      <c r="J38" s="82">
        <f t="shared" si="186"/>
        <v>128.69999999999999</v>
      </c>
      <c r="K38" s="82">
        <f t="shared" si="186"/>
        <v>160.19999999999999</v>
      </c>
      <c r="L38" s="82">
        <f t="shared" si="186"/>
        <v>171.9</v>
      </c>
      <c r="M38" s="82">
        <f t="shared" si="186"/>
        <v>189.5</v>
      </c>
      <c r="N38" s="82">
        <f t="shared" si="186"/>
        <v>233.9</v>
      </c>
      <c r="O38" s="82">
        <f t="shared" si="186"/>
        <v>251.5</v>
      </c>
      <c r="P38" s="82">
        <f t="shared" si="186"/>
        <v>350.9</v>
      </c>
      <c r="Q38" s="81">
        <f t="shared" si="187"/>
        <v>115.1</v>
      </c>
      <c r="R38" s="80">
        <f>RCF!C$7</f>
        <v>16.45</v>
      </c>
      <c r="S38" s="82">
        <f t="shared" si="188"/>
        <v>149.6</v>
      </c>
      <c r="T38" s="82">
        <f t="shared" si="188"/>
        <v>172.6</v>
      </c>
      <c r="U38" s="81">
        <f t="shared" si="189"/>
        <v>113.3</v>
      </c>
      <c r="V38" s="80">
        <f>RCF!C$9</f>
        <v>16.192</v>
      </c>
      <c r="W38" s="81">
        <f t="shared" si="190"/>
        <v>113.3</v>
      </c>
      <c r="X38" s="80">
        <f t="shared" si="191"/>
        <v>16.192</v>
      </c>
      <c r="Y38" s="82">
        <f t="shared" si="192"/>
        <v>124.6</v>
      </c>
      <c r="Z38" s="82">
        <f t="shared" si="192"/>
        <v>155.19999999999999</v>
      </c>
      <c r="AA38" s="82">
        <f t="shared" si="192"/>
        <v>183.5</v>
      </c>
      <c r="AB38" s="82">
        <f t="shared" si="192"/>
        <v>166.5</v>
      </c>
      <c r="AC38" s="82">
        <f t="shared" si="192"/>
        <v>245.8</v>
      </c>
      <c r="AD38" s="82">
        <f t="shared" si="192"/>
        <v>339.9</v>
      </c>
      <c r="AE38" s="81">
        <f t="shared" si="193"/>
        <v>108.6</v>
      </c>
      <c r="AF38" s="80">
        <f>RCF!C$13</f>
        <v>15.52</v>
      </c>
      <c r="AG38" s="77">
        <f t="shared" si="194"/>
        <v>179.2</v>
      </c>
      <c r="AH38" s="77">
        <f t="shared" si="194"/>
        <v>228.1</v>
      </c>
      <c r="AI38" s="77">
        <f t="shared" si="194"/>
        <v>325.8</v>
      </c>
      <c r="AJ38" s="81">
        <f t="shared" si="195"/>
        <v>114.8</v>
      </c>
      <c r="AK38" s="80">
        <f>RCF!C$25</f>
        <v>16.413333333333334</v>
      </c>
      <c r="AL38" s="81">
        <f t="shared" si="196"/>
        <v>154.6</v>
      </c>
      <c r="AM38" s="80">
        <f>RCF!C$59</f>
        <v>22.086666666666666</v>
      </c>
      <c r="AN38" s="81">
        <f t="shared" si="197"/>
        <v>123.4</v>
      </c>
      <c r="AO38" s="80">
        <f>RCF!C$33</f>
        <v>17.632999999999999</v>
      </c>
      <c r="AP38" s="77">
        <f t="shared" si="198"/>
        <v>185.1</v>
      </c>
      <c r="AQ38" s="81">
        <f t="shared" si="199"/>
        <v>122</v>
      </c>
      <c r="AR38" s="80">
        <f>RCF!C$35</f>
        <v>17.43</v>
      </c>
      <c r="AS38" s="77">
        <f t="shared" si="200"/>
        <v>158.6</v>
      </c>
      <c r="AT38" s="77">
        <f t="shared" si="200"/>
        <v>176.9</v>
      </c>
      <c r="AU38" s="81">
        <f t="shared" si="201"/>
        <v>119.6</v>
      </c>
      <c r="AV38" s="80">
        <f>RCF!C$37</f>
        <v>17.09</v>
      </c>
      <c r="AW38" s="81">
        <f t="shared" si="204"/>
        <v>119.8</v>
      </c>
      <c r="AX38" s="80">
        <f>RCF!C$64</f>
        <v>17.125999999999998</v>
      </c>
      <c r="AY38" s="81">
        <f t="shared" si="202"/>
        <v>122.1</v>
      </c>
      <c r="AZ38" s="80">
        <f>RCF!C$39</f>
        <v>17.45</v>
      </c>
      <c r="BA38" s="81">
        <f t="shared" si="203"/>
        <v>116.7</v>
      </c>
      <c r="BB38" s="80">
        <f>RCF!C$41</f>
        <v>16.678999999999998</v>
      </c>
    </row>
    <row r="39" spans="1:54" s="97" customFormat="1" ht="25.5" x14ac:dyDescent="0.2">
      <c r="A39" s="103" t="s">
        <v>115</v>
      </c>
      <c r="B39" s="79" t="s">
        <v>38</v>
      </c>
      <c r="C39" s="72">
        <v>74</v>
      </c>
      <c r="D39" s="104">
        <f t="shared" si="182"/>
        <v>1234.2</v>
      </c>
      <c r="E39" s="102">
        <f>BB39</f>
        <v>16.678999999999998</v>
      </c>
      <c r="F39" s="81">
        <f t="shared" si="183"/>
        <v>1236.3</v>
      </c>
      <c r="G39" s="80">
        <f>RCF!C$5</f>
        <v>16.707999999999998</v>
      </c>
      <c r="H39" s="81">
        <f t="shared" si="184"/>
        <v>1236.3</v>
      </c>
      <c r="I39" s="80">
        <f t="shared" si="185"/>
        <v>16.707999999999998</v>
      </c>
      <c r="J39" s="82">
        <f t="shared" si="186"/>
        <v>1360</v>
      </c>
      <c r="K39" s="82">
        <f t="shared" si="186"/>
        <v>1693.9</v>
      </c>
      <c r="L39" s="82">
        <f t="shared" si="186"/>
        <v>1817.5</v>
      </c>
      <c r="M39" s="82">
        <f t="shared" si="186"/>
        <v>2003</v>
      </c>
      <c r="N39" s="82">
        <f t="shared" si="186"/>
        <v>2472.8000000000002</v>
      </c>
      <c r="O39" s="82">
        <f t="shared" si="186"/>
        <v>2658.2</v>
      </c>
      <c r="P39" s="82">
        <f t="shared" si="186"/>
        <v>3709.2</v>
      </c>
      <c r="Q39" s="81">
        <f t="shared" si="187"/>
        <v>1217.3</v>
      </c>
      <c r="R39" s="80">
        <f>RCF!C$7</f>
        <v>16.45</v>
      </c>
      <c r="S39" s="82">
        <f t="shared" si="188"/>
        <v>1582.4</v>
      </c>
      <c r="T39" s="82">
        <f t="shared" si="188"/>
        <v>1825.9</v>
      </c>
      <c r="U39" s="81">
        <f t="shared" si="189"/>
        <v>1198.2</v>
      </c>
      <c r="V39" s="80">
        <f>RCF!C$9</f>
        <v>16.192</v>
      </c>
      <c r="W39" s="81">
        <f t="shared" si="190"/>
        <v>1198.2</v>
      </c>
      <c r="X39" s="80">
        <f t="shared" si="191"/>
        <v>16.192</v>
      </c>
      <c r="Y39" s="82">
        <f t="shared" si="192"/>
        <v>1318</v>
      </c>
      <c r="Z39" s="82">
        <f t="shared" si="192"/>
        <v>1641.5</v>
      </c>
      <c r="AA39" s="82">
        <f t="shared" si="192"/>
        <v>1941</v>
      </c>
      <c r="AB39" s="82">
        <f t="shared" si="192"/>
        <v>1761.3</v>
      </c>
      <c r="AC39" s="82">
        <f t="shared" si="192"/>
        <v>2600</v>
      </c>
      <c r="AD39" s="82">
        <f t="shared" si="192"/>
        <v>3594.6</v>
      </c>
      <c r="AE39" s="81">
        <f t="shared" si="193"/>
        <v>1148.4000000000001</v>
      </c>
      <c r="AF39" s="80">
        <f>RCF!C$13</f>
        <v>15.52</v>
      </c>
      <c r="AG39" s="77">
        <f t="shared" si="194"/>
        <v>1894.9</v>
      </c>
      <c r="AH39" s="77">
        <f t="shared" si="194"/>
        <v>2411.6</v>
      </c>
      <c r="AI39" s="77">
        <f t="shared" si="194"/>
        <v>3445.2</v>
      </c>
      <c r="AJ39" s="81">
        <f t="shared" si="195"/>
        <v>1214.5</v>
      </c>
      <c r="AK39" s="80">
        <f>RCF!C$25</f>
        <v>16.413333333333334</v>
      </c>
      <c r="AL39" s="81">
        <f t="shared" si="196"/>
        <v>1634.4</v>
      </c>
      <c r="AM39" s="80">
        <f>RCF!C$59</f>
        <v>22.086666666666666</v>
      </c>
      <c r="AN39" s="81">
        <f t="shared" si="197"/>
        <v>1304.8</v>
      </c>
      <c r="AO39" s="80">
        <f>RCF!C$33</f>
        <v>17.632999999999999</v>
      </c>
      <c r="AP39" s="77">
        <f t="shared" si="198"/>
        <v>1957.2</v>
      </c>
      <c r="AQ39" s="81">
        <f t="shared" si="199"/>
        <v>1289.8</v>
      </c>
      <c r="AR39" s="80">
        <f>RCF!C$35</f>
        <v>17.43</v>
      </c>
      <c r="AS39" s="77">
        <f t="shared" si="200"/>
        <v>1676.7</v>
      </c>
      <c r="AT39" s="77">
        <f t="shared" si="200"/>
        <v>1870.2</v>
      </c>
      <c r="AU39" s="81">
        <f t="shared" si="201"/>
        <v>1264.5999999999999</v>
      </c>
      <c r="AV39" s="80">
        <f>RCF!C$37</f>
        <v>17.09</v>
      </c>
      <c r="AW39" s="81">
        <f t="shared" si="204"/>
        <v>1267.3</v>
      </c>
      <c r="AX39" s="80">
        <f>RCF!C$64</f>
        <v>17.125999999999998</v>
      </c>
      <c r="AY39" s="81">
        <f t="shared" si="202"/>
        <v>1291.3</v>
      </c>
      <c r="AZ39" s="80">
        <f>RCF!C$39</f>
        <v>17.45</v>
      </c>
      <c r="BA39" s="81">
        <f t="shared" si="203"/>
        <v>1234.2</v>
      </c>
      <c r="BB39" s="80">
        <f>RCF!C$41</f>
        <v>16.678999999999998</v>
      </c>
    </row>
    <row r="40" spans="1:54" s="97" customFormat="1" x14ac:dyDescent="0.2">
      <c r="A40" s="98" t="s">
        <v>39</v>
      </c>
      <c r="B40" s="79" t="s">
        <v>40</v>
      </c>
      <c r="C40" s="72">
        <v>16</v>
      </c>
      <c r="D40" s="72">
        <f t="shared" si="182"/>
        <v>1023.7</v>
      </c>
      <c r="E40" s="80">
        <f>RCF!C$43</f>
        <v>63.983120993999997</v>
      </c>
      <c r="F40" s="81">
        <f t="shared" si="183"/>
        <v>267.3</v>
      </c>
      <c r="G40" s="80">
        <f>RCF!C$5</f>
        <v>16.707999999999998</v>
      </c>
      <c r="H40" s="81">
        <f t="shared" si="184"/>
        <v>267.3</v>
      </c>
      <c r="I40" s="80">
        <f t="shared" si="185"/>
        <v>16.707999999999998</v>
      </c>
      <c r="J40" s="82">
        <f t="shared" si="186"/>
        <v>294.10000000000002</v>
      </c>
      <c r="K40" s="82">
        <f t="shared" si="186"/>
        <v>366.2</v>
      </c>
      <c r="L40" s="82">
        <f t="shared" si="186"/>
        <v>393</v>
      </c>
      <c r="M40" s="82">
        <f t="shared" si="186"/>
        <v>433.1</v>
      </c>
      <c r="N40" s="82">
        <f t="shared" si="186"/>
        <v>534.70000000000005</v>
      </c>
      <c r="O40" s="82">
        <f t="shared" si="186"/>
        <v>574.79999999999995</v>
      </c>
      <c r="P40" s="82">
        <f t="shared" si="186"/>
        <v>802</v>
      </c>
      <c r="Q40" s="81">
        <f t="shared" si="187"/>
        <v>263.2</v>
      </c>
      <c r="R40" s="80">
        <f>RCF!C$7</f>
        <v>16.45</v>
      </c>
      <c r="S40" s="82">
        <f t="shared" si="188"/>
        <v>342.1</v>
      </c>
      <c r="T40" s="82">
        <f t="shared" si="188"/>
        <v>394.8</v>
      </c>
      <c r="U40" s="81">
        <f t="shared" si="189"/>
        <v>259</v>
      </c>
      <c r="V40" s="80">
        <f>RCF!C$9</f>
        <v>16.192</v>
      </c>
      <c r="W40" s="81">
        <f t="shared" si="190"/>
        <v>259</v>
      </c>
      <c r="X40" s="80">
        <f t="shared" si="191"/>
        <v>16.192</v>
      </c>
      <c r="Y40" s="82">
        <f t="shared" si="192"/>
        <v>284.89999999999998</v>
      </c>
      <c r="Z40" s="82">
        <f t="shared" si="192"/>
        <v>354.8</v>
      </c>
      <c r="AA40" s="82">
        <f t="shared" si="192"/>
        <v>419.5</v>
      </c>
      <c r="AB40" s="82">
        <f t="shared" si="192"/>
        <v>380.7</v>
      </c>
      <c r="AC40" s="82">
        <f t="shared" si="192"/>
        <v>562</v>
      </c>
      <c r="AD40" s="82">
        <f t="shared" si="192"/>
        <v>777</v>
      </c>
      <c r="AE40" s="81">
        <f t="shared" si="193"/>
        <v>248.3</v>
      </c>
      <c r="AF40" s="80">
        <f>RCF!C$13</f>
        <v>15.52</v>
      </c>
      <c r="AG40" s="77">
        <f t="shared" si="194"/>
        <v>409.7</v>
      </c>
      <c r="AH40" s="77">
        <f t="shared" si="194"/>
        <v>521.4</v>
      </c>
      <c r="AI40" s="77">
        <f t="shared" si="194"/>
        <v>744.9</v>
      </c>
      <c r="AJ40" s="81">
        <f t="shared" si="195"/>
        <v>262.60000000000002</v>
      </c>
      <c r="AK40" s="80">
        <f>RCF!C$25</f>
        <v>16.413333333333334</v>
      </c>
      <c r="AL40" s="81">
        <f t="shared" si="196"/>
        <v>353.3</v>
      </c>
      <c r="AM40" s="80">
        <f>RCF!C$59</f>
        <v>22.086666666666666</v>
      </c>
      <c r="AN40" s="81">
        <f t="shared" si="197"/>
        <v>282.10000000000002</v>
      </c>
      <c r="AO40" s="80">
        <f>RCF!C$33</f>
        <v>17.632999999999999</v>
      </c>
      <c r="AP40" s="77">
        <f t="shared" si="198"/>
        <v>423.1</v>
      </c>
      <c r="AQ40" s="81">
        <f t="shared" si="199"/>
        <v>278.8</v>
      </c>
      <c r="AR40" s="80">
        <f>RCF!C$35</f>
        <v>17.43</v>
      </c>
      <c r="AS40" s="77">
        <f t="shared" si="200"/>
        <v>362.4</v>
      </c>
      <c r="AT40" s="77">
        <f t="shared" si="200"/>
        <v>404.2</v>
      </c>
      <c r="AU40" s="81">
        <f t="shared" si="201"/>
        <v>273.39999999999998</v>
      </c>
      <c r="AV40" s="80">
        <f>RCF!C$37</f>
        <v>17.09</v>
      </c>
      <c r="AW40" s="81">
        <f t="shared" si="204"/>
        <v>274</v>
      </c>
      <c r="AX40" s="80">
        <f>RCF!C$64</f>
        <v>17.125999999999998</v>
      </c>
      <c r="AY40" s="81">
        <f t="shared" si="202"/>
        <v>279.2</v>
      </c>
      <c r="AZ40" s="80">
        <f>RCF!C$39</f>
        <v>17.45</v>
      </c>
      <c r="BA40" s="81">
        <f t="shared" si="203"/>
        <v>266.8</v>
      </c>
      <c r="BB40" s="80">
        <f>RCF!C$41</f>
        <v>16.678999999999998</v>
      </c>
    </row>
    <row r="41" spans="1:54" s="97" customFormat="1" ht="25.5" x14ac:dyDescent="0.2">
      <c r="A41" s="103" t="s">
        <v>116</v>
      </c>
      <c r="B41" s="99" t="s">
        <v>41</v>
      </c>
      <c r="C41" s="72">
        <v>46</v>
      </c>
      <c r="D41" s="104">
        <f t="shared" si="182"/>
        <v>767.2</v>
      </c>
      <c r="E41" s="102">
        <f>BB41</f>
        <v>16.678999999999998</v>
      </c>
      <c r="F41" s="81">
        <f t="shared" si="183"/>
        <v>768.5</v>
      </c>
      <c r="G41" s="80">
        <f>RCF!C$5</f>
        <v>16.707999999999998</v>
      </c>
      <c r="H41" s="81">
        <f t="shared" si="184"/>
        <v>768.5</v>
      </c>
      <c r="I41" s="80">
        <f t="shared" si="185"/>
        <v>16.707999999999998</v>
      </c>
      <c r="J41" s="82">
        <f t="shared" si="186"/>
        <v>845.4</v>
      </c>
      <c r="K41" s="82">
        <f t="shared" si="186"/>
        <v>1052.9000000000001</v>
      </c>
      <c r="L41" s="82">
        <f t="shared" si="186"/>
        <v>1129.8</v>
      </c>
      <c r="M41" s="82">
        <f t="shared" si="186"/>
        <v>1245.0999999999999</v>
      </c>
      <c r="N41" s="82">
        <f t="shared" si="186"/>
        <v>1537.1</v>
      </c>
      <c r="O41" s="82">
        <f t="shared" si="186"/>
        <v>1652.4</v>
      </c>
      <c r="P41" s="82">
        <f t="shared" si="186"/>
        <v>2305.6999999999998</v>
      </c>
      <c r="Q41" s="81">
        <f t="shared" si="187"/>
        <v>756.7</v>
      </c>
      <c r="R41" s="80">
        <f>RCF!C$7</f>
        <v>16.45</v>
      </c>
      <c r="S41" s="82">
        <f t="shared" si="188"/>
        <v>983.7</v>
      </c>
      <c r="T41" s="82">
        <f t="shared" si="188"/>
        <v>1135</v>
      </c>
      <c r="U41" s="81">
        <f t="shared" si="189"/>
        <v>744.8</v>
      </c>
      <c r="V41" s="80">
        <f>RCF!C$9</f>
        <v>16.192</v>
      </c>
      <c r="W41" s="81">
        <f t="shared" si="190"/>
        <v>744.8</v>
      </c>
      <c r="X41" s="80">
        <f t="shared" si="191"/>
        <v>16.192</v>
      </c>
      <c r="Y41" s="82">
        <f t="shared" si="192"/>
        <v>819.2</v>
      </c>
      <c r="Z41" s="82">
        <f t="shared" si="192"/>
        <v>1020.3</v>
      </c>
      <c r="AA41" s="82">
        <f t="shared" si="192"/>
        <v>1206.5</v>
      </c>
      <c r="AB41" s="82">
        <f t="shared" si="192"/>
        <v>1094.8</v>
      </c>
      <c r="AC41" s="82">
        <f t="shared" si="192"/>
        <v>1616.2</v>
      </c>
      <c r="AD41" s="82">
        <f t="shared" si="192"/>
        <v>2234.4</v>
      </c>
      <c r="AE41" s="81">
        <f t="shared" si="193"/>
        <v>713.9</v>
      </c>
      <c r="AF41" s="80">
        <f>RCF!C$13</f>
        <v>15.52</v>
      </c>
      <c r="AG41" s="77">
        <f t="shared" si="194"/>
        <v>1177.9000000000001</v>
      </c>
      <c r="AH41" s="77">
        <f t="shared" si="194"/>
        <v>1499.2</v>
      </c>
      <c r="AI41" s="77">
        <f t="shared" si="194"/>
        <v>2141.6999999999998</v>
      </c>
      <c r="AJ41" s="81">
        <f t="shared" si="195"/>
        <v>755</v>
      </c>
      <c r="AK41" s="80">
        <f>RCF!C$25</f>
        <v>16.413333333333334</v>
      </c>
      <c r="AL41" s="81">
        <f t="shared" si="196"/>
        <v>1015.9</v>
      </c>
      <c r="AM41" s="80">
        <f>RCF!C$59</f>
        <v>22.086666666666666</v>
      </c>
      <c r="AN41" s="81">
        <f t="shared" si="197"/>
        <v>811.1</v>
      </c>
      <c r="AO41" s="80">
        <f>RCF!C$33</f>
        <v>17.632999999999999</v>
      </c>
      <c r="AP41" s="77">
        <f t="shared" si="198"/>
        <v>1216.5999999999999</v>
      </c>
      <c r="AQ41" s="81">
        <f t="shared" si="199"/>
        <v>801.7</v>
      </c>
      <c r="AR41" s="80">
        <f>RCF!C$35</f>
        <v>17.43</v>
      </c>
      <c r="AS41" s="77">
        <f t="shared" si="200"/>
        <v>1042.2</v>
      </c>
      <c r="AT41" s="77">
        <f t="shared" si="200"/>
        <v>1162.4000000000001</v>
      </c>
      <c r="AU41" s="81">
        <f t="shared" si="201"/>
        <v>786.1</v>
      </c>
      <c r="AV41" s="80">
        <f>RCF!C$37</f>
        <v>17.09</v>
      </c>
      <c r="AW41" s="81">
        <f t="shared" si="204"/>
        <v>787.7</v>
      </c>
      <c r="AX41" s="80">
        <f>RCF!C$64</f>
        <v>17.125999999999998</v>
      </c>
      <c r="AY41" s="81">
        <f t="shared" si="202"/>
        <v>802.7</v>
      </c>
      <c r="AZ41" s="80">
        <f>RCF!C$39</f>
        <v>17.45</v>
      </c>
      <c r="BA41" s="81">
        <f t="shared" si="203"/>
        <v>767.2</v>
      </c>
      <c r="BB41" s="80">
        <f>RCF!C$41</f>
        <v>16.678999999999998</v>
      </c>
    </row>
    <row r="42" spans="1:54" s="97" customFormat="1" ht="25.5" x14ac:dyDescent="0.2">
      <c r="A42" s="96" t="s">
        <v>42</v>
      </c>
      <c r="B42" s="99" t="s">
        <v>43</v>
      </c>
      <c r="C42" s="72">
        <v>9</v>
      </c>
      <c r="D42" s="72">
        <f t="shared" si="182"/>
        <v>575.79999999999995</v>
      </c>
      <c r="E42" s="80">
        <f>RCF!C$43</f>
        <v>63.983120993999997</v>
      </c>
      <c r="F42" s="81">
        <f t="shared" si="183"/>
        <v>150.30000000000001</v>
      </c>
      <c r="G42" s="80">
        <f>RCF!C$5</f>
        <v>16.707999999999998</v>
      </c>
      <c r="H42" s="81">
        <f t="shared" si="184"/>
        <v>150.30000000000001</v>
      </c>
      <c r="I42" s="80">
        <f t="shared" si="185"/>
        <v>16.707999999999998</v>
      </c>
      <c r="J42" s="82">
        <f t="shared" si="186"/>
        <v>165.4</v>
      </c>
      <c r="K42" s="82">
        <f t="shared" si="186"/>
        <v>206</v>
      </c>
      <c r="L42" s="82">
        <f t="shared" si="186"/>
        <v>221</v>
      </c>
      <c r="M42" s="82">
        <f t="shared" si="186"/>
        <v>243.6</v>
      </c>
      <c r="N42" s="82">
        <f t="shared" si="186"/>
        <v>300.7</v>
      </c>
      <c r="O42" s="82">
        <f t="shared" si="186"/>
        <v>323.3</v>
      </c>
      <c r="P42" s="82">
        <f t="shared" si="186"/>
        <v>451.1</v>
      </c>
      <c r="Q42" s="81">
        <f t="shared" si="187"/>
        <v>148</v>
      </c>
      <c r="R42" s="80">
        <f>RCF!C$7</f>
        <v>16.45</v>
      </c>
      <c r="S42" s="82">
        <f t="shared" si="188"/>
        <v>192.4</v>
      </c>
      <c r="T42" s="82">
        <f t="shared" si="188"/>
        <v>222</v>
      </c>
      <c r="U42" s="81">
        <f t="shared" si="189"/>
        <v>145.69999999999999</v>
      </c>
      <c r="V42" s="80">
        <f>RCF!C$9</f>
        <v>16.192</v>
      </c>
      <c r="W42" s="81">
        <f t="shared" si="190"/>
        <v>145.69999999999999</v>
      </c>
      <c r="X42" s="80">
        <f t="shared" si="191"/>
        <v>16.192</v>
      </c>
      <c r="Y42" s="82">
        <f t="shared" si="192"/>
        <v>160.19999999999999</v>
      </c>
      <c r="Z42" s="82">
        <f t="shared" si="192"/>
        <v>199.6</v>
      </c>
      <c r="AA42" s="82">
        <f t="shared" si="192"/>
        <v>236</v>
      </c>
      <c r="AB42" s="82">
        <f t="shared" si="192"/>
        <v>214.1</v>
      </c>
      <c r="AC42" s="82">
        <f t="shared" si="192"/>
        <v>316.10000000000002</v>
      </c>
      <c r="AD42" s="82">
        <f t="shared" si="192"/>
        <v>437.1</v>
      </c>
      <c r="AE42" s="81">
        <f t="shared" si="193"/>
        <v>139.6</v>
      </c>
      <c r="AF42" s="80">
        <f>RCF!C$13</f>
        <v>15.52</v>
      </c>
      <c r="AG42" s="77">
        <f t="shared" si="194"/>
        <v>230.3</v>
      </c>
      <c r="AH42" s="77">
        <f t="shared" si="194"/>
        <v>293.2</v>
      </c>
      <c r="AI42" s="77">
        <f t="shared" si="194"/>
        <v>418.8</v>
      </c>
      <c r="AJ42" s="81">
        <f t="shared" si="195"/>
        <v>147.69999999999999</v>
      </c>
      <c r="AK42" s="80">
        <f>RCF!C$25</f>
        <v>16.413333333333334</v>
      </c>
      <c r="AL42" s="81">
        <f t="shared" si="196"/>
        <v>198.7</v>
      </c>
      <c r="AM42" s="80">
        <f>RCF!C$59</f>
        <v>22.086666666666666</v>
      </c>
      <c r="AN42" s="81">
        <f t="shared" si="197"/>
        <v>158.6</v>
      </c>
      <c r="AO42" s="80">
        <f>RCF!C$33</f>
        <v>17.632999999999999</v>
      </c>
      <c r="AP42" s="77">
        <f t="shared" si="198"/>
        <v>237.9</v>
      </c>
      <c r="AQ42" s="81">
        <f t="shared" si="199"/>
        <v>156.80000000000001</v>
      </c>
      <c r="AR42" s="80">
        <f>RCF!C$35</f>
        <v>17.43</v>
      </c>
      <c r="AS42" s="77">
        <f t="shared" si="200"/>
        <v>203.8</v>
      </c>
      <c r="AT42" s="77">
        <f t="shared" si="200"/>
        <v>227.3</v>
      </c>
      <c r="AU42" s="81">
        <f t="shared" si="201"/>
        <v>153.80000000000001</v>
      </c>
      <c r="AV42" s="80">
        <f>RCF!C$37</f>
        <v>17.09</v>
      </c>
      <c r="AW42" s="81">
        <f t="shared" si="204"/>
        <v>154.1</v>
      </c>
      <c r="AX42" s="80">
        <f>RCF!C$64</f>
        <v>17.125999999999998</v>
      </c>
      <c r="AY42" s="81">
        <f t="shared" si="202"/>
        <v>157</v>
      </c>
      <c r="AZ42" s="80">
        <f>RCF!C$39</f>
        <v>17.45</v>
      </c>
      <c r="BA42" s="81">
        <f t="shared" si="203"/>
        <v>150.1</v>
      </c>
      <c r="BB42" s="80">
        <f>RCF!C$41</f>
        <v>16.678999999999998</v>
      </c>
    </row>
    <row r="43" spans="1:54" s="97" customFormat="1" x14ac:dyDescent="0.2">
      <c r="A43" s="103" t="s">
        <v>117</v>
      </c>
      <c r="B43" s="79" t="s">
        <v>44</v>
      </c>
      <c r="C43" s="72">
        <v>68</v>
      </c>
      <c r="D43" s="104">
        <f t="shared" si="182"/>
        <v>1134.2</v>
      </c>
      <c r="E43" s="102">
        <f t="shared" ref="E43:E46" si="205">BB43</f>
        <v>16.678999999999998</v>
      </c>
      <c r="F43" s="81">
        <f t="shared" si="183"/>
        <v>1136.0999999999999</v>
      </c>
      <c r="G43" s="80">
        <f>RCF!C$5</f>
        <v>16.707999999999998</v>
      </c>
      <c r="H43" s="81">
        <f t="shared" si="184"/>
        <v>1136.0999999999999</v>
      </c>
      <c r="I43" s="80">
        <f t="shared" si="185"/>
        <v>16.707999999999998</v>
      </c>
      <c r="J43" s="82">
        <f t="shared" si="186"/>
        <v>1249.8</v>
      </c>
      <c r="K43" s="82">
        <f t="shared" si="186"/>
        <v>1556.5</v>
      </c>
      <c r="L43" s="82">
        <f t="shared" si="186"/>
        <v>1670.1</v>
      </c>
      <c r="M43" s="82">
        <f t="shared" si="186"/>
        <v>1840.6</v>
      </c>
      <c r="N43" s="82">
        <f t="shared" si="186"/>
        <v>2272.3000000000002</v>
      </c>
      <c r="O43" s="82">
        <f t="shared" si="186"/>
        <v>2442.6999999999998</v>
      </c>
      <c r="P43" s="82">
        <f t="shared" si="186"/>
        <v>3408.4</v>
      </c>
      <c r="Q43" s="81">
        <f t="shared" si="187"/>
        <v>1118.5999999999999</v>
      </c>
      <c r="R43" s="80">
        <f>RCF!C$7</f>
        <v>16.45</v>
      </c>
      <c r="S43" s="82">
        <f t="shared" si="188"/>
        <v>1454.1</v>
      </c>
      <c r="T43" s="82">
        <f t="shared" si="188"/>
        <v>1677.9</v>
      </c>
      <c r="U43" s="81">
        <f t="shared" si="189"/>
        <v>1101</v>
      </c>
      <c r="V43" s="80">
        <f>RCF!C$9</f>
        <v>16.192</v>
      </c>
      <c r="W43" s="81">
        <f t="shared" si="190"/>
        <v>1101</v>
      </c>
      <c r="X43" s="80">
        <f t="shared" si="191"/>
        <v>16.192</v>
      </c>
      <c r="Y43" s="82">
        <f t="shared" si="192"/>
        <v>1211.0999999999999</v>
      </c>
      <c r="Z43" s="82">
        <f t="shared" si="192"/>
        <v>1508.3</v>
      </c>
      <c r="AA43" s="82">
        <f t="shared" si="192"/>
        <v>1783.6</v>
      </c>
      <c r="AB43" s="82">
        <f t="shared" si="192"/>
        <v>1618.4</v>
      </c>
      <c r="AC43" s="82">
        <f t="shared" si="192"/>
        <v>2389.1</v>
      </c>
      <c r="AD43" s="82">
        <f t="shared" si="192"/>
        <v>3303</v>
      </c>
      <c r="AE43" s="81">
        <f t="shared" si="193"/>
        <v>1055.3</v>
      </c>
      <c r="AF43" s="80">
        <f>RCF!C$13</f>
        <v>15.52</v>
      </c>
      <c r="AG43" s="77">
        <f t="shared" si="194"/>
        <v>1741.2</v>
      </c>
      <c r="AH43" s="77">
        <f t="shared" si="194"/>
        <v>2216.1</v>
      </c>
      <c r="AI43" s="77">
        <f t="shared" si="194"/>
        <v>3165.9</v>
      </c>
      <c r="AJ43" s="81">
        <f t="shared" si="195"/>
        <v>1116.0999999999999</v>
      </c>
      <c r="AK43" s="80">
        <f>RCF!C$25</f>
        <v>16.413333333333334</v>
      </c>
      <c r="AL43" s="81">
        <f t="shared" si="196"/>
        <v>1501.8</v>
      </c>
      <c r="AM43" s="80">
        <f>RCF!C$59</f>
        <v>22.086666666666666</v>
      </c>
      <c r="AN43" s="81">
        <f t="shared" si="197"/>
        <v>1199</v>
      </c>
      <c r="AO43" s="80">
        <f>RCF!C$33</f>
        <v>17.632999999999999</v>
      </c>
      <c r="AP43" s="77">
        <f t="shared" si="198"/>
        <v>1798.5</v>
      </c>
      <c r="AQ43" s="81">
        <f t="shared" si="199"/>
        <v>1185.2</v>
      </c>
      <c r="AR43" s="80">
        <f>RCF!C$35</f>
        <v>17.43</v>
      </c>
      <c r="AS43" s="77">
        <f t="shared" si="200"/>
        <v>1540.7</v>
      </c>
      <c r="AT43" s="77">
        <f t="shared" si="200"/>
        <v>1718.5</v>
      </c>
      <c r="AU43" s="81">
        <f t="shared" si="201"/>
        <v>1162.0999999999999</v>
      </c>
      <c r="AV43" s="80">
        <f>RCF!C$37</f>
        <v>17.09</v>
      </c>
      <c r="AW43" s="81">
        <f t="shared" si="204"/>
        <v>1164.5</v>
      </c>
      <c r="AX43" s="80">
        <f>RCF!C$64</f>
        <v>17.125999999999998</v>
      </c>
      <c r="AY43" s="81">
        <f t="shared" si="202"/>
        <v>1186.5999999999999</v>
      </c>
      <c r="AZ43" s="80">
        <f>RCF!C$39</f>
        <v>17.45</v>
      </c>
      <c r="BA43" s="81">
        <f t="shared" si="203"/>
        <v>1134.0999999999999</v>
      </c>
      <c r="BB43" s="80">
        <f>RCF!C$41</f>
        <v>16.678999999999998</v>
      </c>
    </row>
    <row r="44" spans="1:54" s="97" customFormat="1" ht="25.5" x14ac:dyDescent="0.2">
      <c r="A44" s="103" t="s">
        <v>239</v>
      </c>
      <c r="B44" s="99" t="s">
        <v>236</v>
      </c>
      <c r="C44" s="72">
        <v>19.3</v>
      </c>
      <c r="D44" s="104">
        <f t="shared" ref="D44" si="206">ROUND(E44*C44,1)</f>
        <v>321.89999999999998</v>
      </c>
      <c r="E44" s="102">
        <f t="shared" ref="E44" si="207">BB44</f>
        <v>16.678999999999998</v>
      </c>
      <c r="F44" s="81">
        <f t="shared" si="183"/>
        <v>322.39999999999998</v>
      </c>
      <c r="G44" s="80">
        <f>RCF!C$5</f>
        <v>16.707999999999998</v>
      </c>
      <c r="H44" s="81">
        <f t="shared" si="184"/>
        <v>322.39999999999998</v>
      </c>
      <c r="I44" s="80">
        <f t="shared" si="185"/>
        <v>16.707999999999998</v>
      </c>
      <c r="J44" s="82">
        <f t="shared" si="186"/>
        <v>354.7</v>
      </c>
      <c r="K44" s="82">
        <f t="shared" si="186"/>
        <v>441.8</v>
      </c>
      <c r="L44" s="82">
        <f t="shared" si="186"/>
        <v>474</v>
      </c>
      <c r="M44" s="82">
        <f t="shared" si="186"/>
        <v>522.4</v>
      </c>
      <c r="N44" s="82">
        <f t="shared" si="186"/>
        <v>644.9</v>
      </c>
      <c r="O44" s="82">
        <f t="shared" si="186"/>
        <v>693.3</v>
      </c>
      <c r="P44" s="82">
        <f t="shared" si="186"/>
        <v>967.4</v>
      </c>
      <c r="Q44" s="81">
        <f t="shared" si="187"/>
        <v>317.39999999999998</v>
      </c>
      <c r="R44" s="80">
        <f>RCF!C$7</f>
        <v>16.45</v>
      </c>
      <c r="S44" s="82">
        <f t="shared" si="188"/>
        <v>412.6</v>
      </c>
      <c r="T44" s="82">
        <f t="shared" si="188"/>
        <v>476.1</v>
      </c>
      <c r="U44" s="81">
        <f t="shared" si="189"/>
        <v>312.5</v>
      </c>
      <c r="V44" s="80">
        <f>RCF!C$9</f>
        <v>16.192</v>
      </c>
      <c r="W44" s="81">
        <f t="shared" si="190"/>
        <v>312.5</v>
      </c>
      <c r="X44" s="80">
        <f t="shared" si="191"/>
        <v>16.192</v>
      </c>
      <c r="Y44" s="82">
        <f t="shared" si="192"/>
        <v>343.7</v>
      </c>
      <c r="Z44" s="82">
        <f t="shared" si="192"/>
        <v>428.1</v>
      </c>
      <c r="AA44" s="82">
        <f t="shared" si="192"/>
        <v>506.2</v>
      </c>
      <c r="AB44" s="82">
        <f t="shared" si="192"/>
        <v>459.3</v>
      </c>
      <c r="AC44" s="82">
        <f t="shared" si="192"/>
        <v>678.1</v>
      </c>
      <c r="AD44" s="82">
        <f t="shared" si="192"/>
        <v>937.5</v>
      </c>
      <c r="AE44" s="81">
        <f t="shared" si="193"/>
        <v>299.5</v>
      </c>
      <c r="AF44" s="80">
        <f>RCF!C$13</f>
        <v>15.52</v>
      </c>
      <c r="AG44" s="77">
        <f t="shared" si="194"/>
        <v>494.2</v>
      </c>
      <c r="AH44" s="77">
        <f t="shared" si="194"/>
        <v>629</v>
      </c>
      <c r="AI44" s="77">
        <f t="shared" si="194"/>
        <v>898.5</v>
      </c>
      <c r="AJ44" s="81">
        <f t="shared" si="195"/>
        <v>316.7</v>
      </c>
      <c r="AK44" s="80">
        <f>RCF!C$25</f>
        <v>16.413333333333334</v>
      </c>
      <c r="AL44" s="81">
        <f t="shared" si="196"/>
        <v>426.2</v>
      </c>
      <c r="AM44" s="80">
        <f>RCF!C$59</f>
        <v>22.086666666666666</v>
      </c>
      <c r="AN44" s="81">
        <f t="shared" si="197"/>
        <v>340.3</v>
      </c>
      <c r="AO44" s="80">
        <f>RCF!C$33</f>
        <v>17.632999999999999</v>
      </c>
      <c r="AP44" s="77">
        <f t="shared" si="198"/>
        <v>510.4</v>
      </c>
      <c r="AQ44" s="81">
        <f t="shared" si="199"/>
        <v>336.3</v>
      </c>
      <c r="AR44" s="80">
        <f>RCF!C$35</f>
        <v>17.43</v>
      </c>
      <c r="AS44" s="77">
        <f t="shared" si="200"/>
        <v>437.1</v>
      </c>
      <c r="AT44" s="77">
        <f t="shared" si="200"/>
        <v>487.6</v>
      </c>
      <c r="AU44" s="81">
        <f t="shared" si="201"/>
        <v>329.8</v>
      </c>
      <c r="AV44" s="80">
        <f>RCF!C$37</f>
        <v>17.09</v>
      </c>
      <c r="AW44" s="81">
        <f t="shared" si="204"/>
        <v>330.5</v>
      </c>
      <c r="AX44" s="80">
        <f>RCF!C$64</f>
        <v>17.125999999999998</v>
      </c>
      <c r="AY44" s="81">
        <f t="shared" si="202"/>
        <v>336.7</v>
      </c>
      <c r="AZ44" s="80">
        <f>RCF!C$39</f>
        <v>17.45</v>
      </c>
      <c r="BA44" s="81">
        <f t="shared" si="203"/>
        <v>321.89999999999998</v>
      </c>
      <c r="BB44" s="80">
        <f>RCF!C$41</f>
        <v>16.678999999999998</v>
      </c>
    </row>
    <row r="45" spans="1:54" s="97" customFormat="1" x14ac:dyDescent="0.2">
      <c r="A45" s="100" t="s">
        <v>118</v>
      </c>
      <c r="B45" s="79" t="s">
        <v>45</v>
      </c>
      <c r="C45" s="72">
        <v>21</v>
      </c>
      <c r="D45" s="101">
        <f t="shared" si="182"/>
        <v>350.3</v>
      </c>
      <c r="E45" s="102">
        <f t="shared" si="205"/>
        <v>16.678999999999998</v>
      </c>
      <c r="F45" s="81">
        <f t="shared" si="183"/>
        <v>350.8</v>
      </c>
      <c r="G45" s="80">
        <f>RCF!C$5</f>
        <v>16.707999999999998</v>
      </c>
      <c r="H45" s="81">
        <f t="shared" si="184"/>
        <v>350.8</v>
      </c>
      <c r="I45" s="80">
        <f t="shared" si="185"/>
        <v>16.707999999999998</v>
      </c>
      <c r="J45" s="82">
        <f t="shared" si="186"/>
        <v>386</v>
      </c>
      <c r="K45" s="82">
        <f t="shared" si="186"/>
        <v>480.7</v>
      </c>
      <c r="L45" s="82">
        <f t="shared" si="186"/>
        <v>515.79999999999995</v>
      </c>
      <c r="M45" s="82">
        <f t="shared" si="186"/>
        <v>568.4</v>
      </c>
      <c r="N45" s="82">
        <f t="shared" si="186"/>
        <v>701.7</v>
      </c>
      <c r="O45" s="82">
        <f t="shared" si="186"/>
        <v>754.4</v>
      </c>
      <c r="P45" s="82">
        <f t="shared" si="186"/>
        <v>1052.5999999999999</v>
      </c>
      <c r="Q45" s="81">
        <f t="shared" si="187"/>
        <v>345.4</v>
      </c>
      <c r="R45" s="80">
        <f>RCF!C$7</f>
        <v>16.45</v>
      </c>
      <c r="S45" s="82">
        <f t="shared" si="188"/>
        <v>449</v>
      </c>
      <c r="T45" s="82">
        <f t="shared" si="188"/>
        <v>518.1</v>
      </c>
      <c r="U45" s="81">
        <f t="shared" si="189"/>
        <v>340</v>
      </c>
      <c r="V45" s="80">
        <f>RCF!C$9</f>
        <v>16.192</v>
      </c>
      <c r="W45" s="81">
        <f t="shared" si="190"/>
        <v>340</v>
      </c>
      <c r="X45" s="80">
        <f t="shared" si="191"/>
        <v>16.192</v>
      </c>
      <c r="Y45" s="82">
        <f t="shared" si="192"/>
        <v>374</v>
      </c>
      <c r="Z45" s="82">
        <f t="shared" si="192"/>
        <v>465.8</v>
      </c>
      <c r="AA45" s="82">
        <f t="shared" si="192"/>
        <v>550.79999999999995</v>
      </c>
      <c r="AB45" s="82">
        <f t="shared" si="192"/>
        <v>499.8</v>
      </c>
      <c r="AC45" s="82">
        <f t="shared" si="192"/>
        <v>737.8</v>
      </c>
      <c r="AD45" s="82">
        <f t="shared" si="192"/>
        <v>1020</v>
      </c>
      <c r="AE45" s="81">
        <f t="shared" si="193"/>
        <v>325.89999999999998</v>
      </c>
      <c r="AF45" s="80">
        <f>RCF!C$13</f>
        <v>15.52</v>
      </c>
      <c r="AG45" s="77">
        <f t="shared" si="194"/>
        <v>537.70000000000005</v>
      </c>
      <c r="AH45" s="77">
        <f t="shared" si="194"/>
        <v>684.4</v>
      </c>
      <c r="AI45" s="77">
        <f t="shared" si="194"/>
        <v>977.7</v>
      </c>
      <c r="AJ45" s="81">
        <f t="shared" si="195"/>
        <v>344.6</v>
      </c>
      <c r="AK45" s="80">
        <f>RCF!C$25</f>
        <v>16.413333333333334</v>
      </c>
      <c r="AL45" s="81">
        <f t="shared" si="196"/>
        <v>463.8</v>
      </c>
      <c r="AM45" s="80">
        <f>RCF!C$59</f>
        <v>22.086666666666666</v>
      </c>
      <c r="AN45" s="81">
        <f t="shared" si="197"/>
        <v>370.2</v>
      </c>
      <c r="AO45" s="80">
        <f>RCF!C$33</f>
        <v>17.632999999999999</v>
      </c>
      <c r="AP45" s="77">
        <f t="shared" si="198"/>
        <v>555.29999999999995</v>
      </c>
      <c r="AQ45" s="81">
        <f t="shared" si="199"/>
        <v>366</v>
      </c>
      <c r="AR45" s="80">
        <f>RCF!C$35</f>
        <v>17.43</v>
      </c>
      <c r="AS45" s="77">
        <f t="shared" si="200"/>
        <v>475.8</v>
      </c>
      <c r="AT45" s="77">
        <f t="shared" si="200"/>
        <v>530.70000000000005</v>
      </c>
      <c r="AU45" s="81">
        <f t="shared" si="201"/>
        <v>358.8</v>
      </c>
      <c r="AV45" s="80">
        <f>RCF!C$37</f>
        <v>17.09</v>
      </c>
      <c r="AW45" s="81">
        <f t="shared" si="204"/>
        <v>359.6</v>
      </c>
      <c r="AX45" s="80">
        <f>RCF!C$64</f>
        <v>17.125999999999998</v>
      </c>
      <c r="AY45" s="81">
        <f t="shared" si="202"/>
        <v>366.4</v>
      </c>
      <c r="AZ45" s="80">
        <f>RCF!C$39</f>
        <v>17.45</v>
      </c>
      <c r="BA45" s="81">
        <f t="shared" si="203"/>
        <v>350.2</v>
      </c>
      <c r="BB45" s="80">
        <f>RCF!C$41</f>
        <v>16.678999999999998</v>
      </c>
    </row>
    <row r="46" spans="1:54" s="97" customFormat="1" x14ac:dyDescent="0.2">
      <c r="A46" s="103" t="s">
        <v>119</v>
      </c>
      <c r="B46" s="79" t="s">
        <v>46</v>
      </c>
      <c r="C46" s="72">
        <v>40</v>
      </c>
      <c r="D46" s="104">
        <f t="shared" si="182"/>
        <v>667.2</v>
      </c>
      <c r="E46" s="102">
        <f t="shared" si="205"/>
        <v>16.678999999999998</v>
      </c>
      <c r="F46" s="81">
        <f t="shared" si="183"/>
        <v>668.3</v>
      </c>
      <c r="G46" s="80">
        <f>RCF!C$5</f>
        <v>16.707999999999998</v>
      </c>
      <c r="H46" s="81">
        <f t="shared" si="184"/>
        <v>668.3</v>
      </c>
      <c r="I46" s="80">
        <f t="shared" si="185"/>
        <v>16.707999999999998</v>
      </c>
      <c r="J46" s="82">
        <f t="shared" si="186"/>
        <v>735.2</v>
      </c>
      <c r="K46" s="82">
        <f t="shared" si="186"/>
        <v>915.6</v>
      </c>
      <c r="L46" s="82">
        <f t="shared" si="186"/>
        <v>982.4</v>
      </c>
      <c r="M46" s="82">
        <f t="shared" si="186"/>
        <v>1082.7</v>
      </c>
      <c r="N46" s="82">
        <f t="shared" si="186"/>
        <v>1336.6</v>
      </c>
      <c r="O46" s="82">
        <f t="shared" si="186"/>
        <v>1436.9</v>
      </c>
      <c r="P46" s="82">
        <f t="shared" si="186"/>
        <v>2005</v>
      </c>
      <c r="Q46" s="81">
        <f t="shared" si="187"/>
        <v>658</v>
      </c>
      <c r="R46" s="80">
        <f>RCF!C$7</f>
        <v>16.45</v>
      </c>
      <c r="S46" s="82">
        <f t="shared" si="188"/>
        <v>855.4</v>
      </c>
      <c r="T46" s="82">
        <f t="shared" si="188"/>
        <v>987</v>
      </c>
      <c r="U46" s="81">
        <f t="shared" si="189"/>
        <v>647.6</v>
      </c>
      <c r="V46" s="80">
        <f>RCF!C$9</f>
        <v>16.192</v>
      </c>
      <c r="W46" s="81">
        <f t="shared" si="190"/>
        <v>647.6</v>
      </c>
      <c r="X46" s="80">
        <f t="shared" si="191"/>
        <v>16.192</v>
      </c>
      <c r="Y46" s="82">
        <f t="shared" si="192"/>
        <v>712.3</v>
      </c>
      <c r="Z46" s="82">
        <f t="shared" si="192"/>
        <v>887.2</v>
      </c>
      <c r="AA46" s="82">
        <f t="shared" si="192"/>
        <v>1049.0999999999999</v>
      </c>
      <c r="AB46" s="82">
        <f t="shared" si="192"/>
        <v>951.9</v>
      </c>
      <c r="AC46" s="82">
        <f t="shared" si="192"/>
        <v>1405.2</v>
      </c>
      <c r="AD46" s="82">
        <f t="shared" si="192"/>
        <v>1942.8</v>
      </c>
      <c r="AE46" s="81">
        <f t="shared" si="193"/>
        <v>620.79999999999995</v>
      </c>
      <c r="AF46" s="80">
        <f>RCF!C$13</f>
        <v>15.52</v>
      </c>
      <c r="AG46" s="77">
        <f t="shared" si="194"/>
        <v>1024.3</v>
      </c>
      <c r="AH46" s="77">
        <f t="shared" si="194"/>
        <v>1303.7</v>
      </c>
      <c r="AI46" s="77">
        <f t="shared" si="194"/>
        <v>1862.4</v>
      </c>
      <c r="AJ46" s="81">
        <f t="shared" si="195"/>
        <v>656.5</v>
      </c>
      <c r="AK46" s="80">
        <f>RCF!C$25</f>
        <v>16.413333333333334</v>
      </c>
      <c r="AL46" s="81">
        <f t="shared" si="196"/>
        <v>883.4</v>
      </c>
      <c r="AM46" s="80">
        <f>RCF!C$59</f>
        <v>22.086666666666666</v>
      </c>
      <c r="AN46" s="81">
        <f t="shared" si="197"/>
        <v>705.3</v>
      </c>
      <c r="AO46" s="80">
        <f>RCF!C$33</f>
        <v>17.632999999999999</v>
      </c>
      <c r="AP46" s="77">
        <f t="shared" si="198"/>
        <v>1057.9000000000001</v>
      </c>
      <c r="AQ46" s="81">
        <f t="shared" si="199"/>
        <v>697.2</v>
      </c>
      <c r="AR46" s="80">
        <f>RCF!C$35</f>
        <v>17.43</v>
      </c>
      <c r="AS46" s="77">
        <f t="shared" si="200"/>
        <v>906.3</v>
      </c>
      <c r="AT46" s="77">
        <f t="shared" si="200"/>
        <v>1010.9</v>
      </c>
      <c r="AU46" s="81">
        <f t="shared" si="201"/>
        <v>683.6</v>
      </c>
      <c r="AV46" s="80">
        <f>RCF!C$37</f>
        <v>17.09</v>
      </c>
      <c r="AW46" s="81">
        <f t="shared" si="204"/>
        <v>685</v>
      </c>
      <c r="AX46" s="80">
        <f>RCF!C$64</f>
        <v>17.125999999999998</v>
      </c>
      <c r="AY46" s="81">
        <f t="shared" si="202"/>
        <v>698</v>
      </c>
      <c r="AZ46" s="80">
        <f>RCF!C$39</f>
        <v>17.45</v>
      </c>
      <c r="BA46" s="81">
        <f t="shared" si="203"/>
        <v>667.1</v>
      </c>
      <c r="BB46" s="80">
        <f>RCF!C$41</f>
        <v>16.678999999999998</v>
      </c>
    </row>
    <row r="47" spans="1:54" s="97" customFormat="1" ht="25.5" x14ac:dyDescent="0.2">
      <c r="A47" s="98" t="s">
        <v>47</v>
      </c>
      <c r="B47" s="99" t="s">
        <v>48</v>
      </c>
      <c r="C47" s="72">
        <v>36</v>
      </c>
      <c r="D47" s="72">
        <f t="shared" si="182"/>
        <v>2303.4</v>
      </c>
      <c r="E47" s="80">
        <f>RCF!C$43</f>
        <v>63.983120993999997</v>
      </c>
      <c r="F47" s="81">
        <f t="shared" si="183"/>
        <v>601.4</v>
      </c>
      <c r="G47" s="80">
        <f>RCF!C$5</f>
        <v>16.707999999999998</v>
      </c>
      <c r="H47" s="81">
        <f t="shared" si="184"/>
        <v>601.4</v>
      </c>
      <c r="I47" s="80">
        <f t="shared" si="185"/>
        <v>16.707999999999998</v>
      </c>
      <c r="J47" s="82">
        <f t="shared" si="186"/>
        <v>661.6</v>
      </c>
      <c r="K47" s="82">
        <f t="shared" si="186"/>
        <v>824</v>
      </c>
      <c r="L47" s="82">
        <f t="shared" si="186"/>
        <v>884.2</v>
      </c>
      <c r="M47" s="82">
        <f t="shared" si="186"/>
        <v>974.4</v>
      </c>
      <c r="N47" s="82">
        <f t="shared" si="186"/>
        <v>1203</v>
      </c>
      <c r="O47" s="82">
        <f t="shared" si="186"/>
        <v>1293.2</v>
      </c>
      <c r="P47" s="82">
        <f t="shared" si="186"/>
        <v>1804.5</v>
      </c>
      <c r="Q47" s="81">
        <f t="shared" si="187"/>
        <v>592.20000000000005</v>
      </c>
      <c r="R47" s="80">
        <f>RCF!C$7</f>
        <v>16.45</v>
      </c>
      <c r="S47" s="82">
        <f t="shared" si="188"/>
        <v>769.8</v>
      </c>
      <c r="T47" s="82">
        <f t="shared" si="188"/>
        <v>888.3</v>
      </c>
      <c r="U47" s="81">
        <f t="shared" si="189"/>
        <v>582.9</v>
      </c>
      <c r="V47" s="80">
        <f>RCF!C$9</f>
        <v>16.192</v>
      </c>
      <c r="W47" s="81">
        <f t="shared" si="190"/>
        <v>582.9</v>
      </c>
      <c r="X47" s="80">
        <f t="shared" si="191"/>
        <v>16.192</v>
      </c>
      <c r="Y47" s="82">
        <f t="shared" si="192"/>
        <v>641.1</v>
      </c>
      <c r="Z47" s="82">
        <f t="shared" si="192"/>
        <v>798.5</v>
      </c>
      <c r="AA47" s="82">
        <f t="shared" si="192"/>
        <v>944.2</v>
      </c>
      <c r="AB47" s="82">
        <f t="shared" si="192"/>
        <v>856.8</v>
      </c>
      <c r="AC47" s="82">
        <f t="shared" si="192"/>
        <v>1264.8</v>
      </c>
      <c r="AD47" s="82">
        <f t="shared" si="192"/>
        <v>1748.7</v>
      </c>
      <c r="AE47" s="81">
        <f t="shared" si="193"/>
        <v>558.70000000000005</v>
      </c>
      <c r="AF47" s="80">
        <f>RCF!C$13</f>
        <v>15.52</v>
      </c>
      <c r="AG47" s="77">
        <f t="shared" si="194"/>
        <v>921.9</v>
      </c>
      <c r="AH47" s="77">
        <f t="shared" si="194"/>
        <v>1173.3</v>
      </c>
      <c r="AI47" s="77">
        <f t="shared" si="194"/>
        <v>1676.1</v>
      </c>
      <c r="AJ47" s="81">
        <f t="shared" si="195"/>
        <v>590.79999999999995</v>
      </c>
      <c r="AK47" s="80">
        <f>RCF!C$25</f>
        <v>16.413333333333334</v>
      </c>
      <c r="AL47" s="81">
        <f t="shared" si="196"/>
        <v>795.1</v>
      </c>
      <c r="AM47" s="80">
        <f>RCF!C$59</f>
        <v>22.086666666666666</v>
      </c>
      <c r="AN47" s="81">
        <f t="shared" si="197"/>
        <v>634.70000000000005</v>
      </c>
      <c r="AO47" s="80">
        <f>RCF!C$33</f>
        <v>17.632999999999999</v>
      </c>
      <c r="AP47" s="77">
        <f t="shared" si="198"/>
        <v>952</v>
      </c>
      <c r="AQ47" s="81">
        <f t="shared" si="199"/>
        <v>627.4</v>
      </c>
      <c r="AR47" s="80">
        <f>RCF!C$35</f>
        <v>17.43</v>
      </c>
      <c r="AS47" s="77">
        <f t="shared" si="200"/>
        <v>815.6</v>
      </c>
      <c r="AT47" s="77">
        <f t="shared" si="200"/>
        <v>909.7</v>
      </c>
      <c r="AU47" s="81">
        <f t="shared" si="201"/>
        <v>615.20000000000005</v>
      </c>
      <c r="AV47" s="80">
        <f>RCF!C$37</f>
        <v>17.09</v>
      </c>
      <c r="AW47" s="81">
        <f t="shared" si="204"/>
        <v>616.5</v>
      </c>
      <c r="AX47" s="80">
        <f>RCF!C$64</f>
        <v>17.125999999999998</v>
      </c>
      <c r="AY47" s="81">
        <f t="shared" si="202"/>
        <v>628.20000000000005</v>
      </c>
      <c r="AZ47" s="80">
        <f>RCF!C$39</f>
        <v>17.45</v>
      </c>
      <c r="BA47" s="81">
        <f t="shared" si="203"/>
        <v>600.4</v>
      </c>
      <c r="BB47" s="80">
        <f>RCF!C$41</f>
        <v>16.678999999999998</v>
      </c>
    </row>
    <row r="48" spans="1:54" s="97" customFormat="1" ht="25.5" x14ac:dyDescent="0.2">
      <c r="A48" s="96" t="s">
        <v>49</v>
      </c>
      <c r="B48" s="99" t="s">
        <v>50</v>
      </c>
      <c r="C48" s="72">
        <v>306.89999999999998</v>
      </c>
      <c r="D48" s="72">
        <f t="shared" si="182"/>
        <v>19636.400000000001</v>
      </c>
      <c r="E48" s="80">
        <f>RCF!C$43</f>
        <v>63.983120993999997</v>
      </c>
      <c r="F48" s="81">
        <f t="shared" ref="F48:F77" si="208">ROUNDDOWN($C48*G48,1)</f>
        <v>5127.6000000000004</v>
      </c>
      <c r="G48" s="80">
        <f>RCF!C$5</f>
        <v>16.707999999999998</v>
      </c>
      <c r="H48" s="81">
        <f t="shared" ref="H48:H77" si="209">ROUNDDOWN($C48*I48,1)</f>
        <v>5127.6000000000004</v>
      </c>
      <c r="I48" s="80">
        <f t="shared" ref="I48:I78" si="210">G48</f>
        <v>16.707999999999998</v>
      </c>
      <c r="J48" s="82">
        <f t="shared" ref="J48:P77" si="211">ROUND($C48*$I48*J$6,1)</f>
        <v>5640.5</v>
      </c>
      <c r="K48" s="82">
        <f t="shared" si="211"/>
        <v>7024.9</v>
      </c>
      <c r="L48" s="82">
        <f t="shared" si="211"/>
        <v>7537.7</v>
      </c>
      <c r="M48" s="82">
        <f t="shared" si="211"/>
        <v>8306.9</v>
      </c>
      <c r="N48" s="82">
        <f t="shared" si="211"/>
        <v>10255.4</v>
      </c>
      <c r="O48" s="82">
        <f t="shared" si="211"/>
        <v>11024.5</v>
      </c>
      <c r="P48" s="82">
        <f t="shared" si="211"/>
        <v>15383.1</v>
      </c>
      <c r="Q48" s="81">
        <f t="shared" ref="Q48:Q79" si="212">ROUNDDOWN($C48*R48,1)</f>
        <v>5048.5</v>
      </c>
      <c r="R48" s="80">
        <f>RCF!C$7</f>
        <v>16.45</v>
      </c>
      <c r="S48" s="82">
        <f t="shared" si="188"/>
        <v>6563</v>
      </c>
      <c r="T48" s="82">
        <f t="shared" si="188"/>
        <v>7572.7</v>
      </c>
      <c r="U48" s="81">
        <f t="shared" ref="U48:U77" si="213">ROUNDDOWN($C48*V48,1)</f>
        <v>4969.3</v>
      </c>
      <c r="V48" s="80">
        <f>RCF!C$9</f>
        <v>16.192</v>
      </c>
      <c r="W48" s="81">
        <f t="shared" ref="W48:W77" si="214">ROUNDDOWN($C48*X48,1)</f>
        <v>4969.3</v>
      </c>
      <c r="X48" s="80">
        <f t="shared" ref="X48:X77" si="215">V48</f>
        <v>16.192</v>
      </c>
      <c r="Y48" s="82">
        <f t="shared" si="192"/>
        <v>5466.2</v>
      </c>
      <c r="Z48" s="82">
        <f t="shared" si="192"/>
        <v>6807.9</v>
      </c>
      <c r="AA48" s="82">
        <f t="shared" si="192"/>
        <v>8050.2</v>
      </c>
      <c r="AB48" s="82">
        <f t="shared" si="192"/>
        <v>7304.8</v>
      </c>
      <c r="AC48" s="82">
        <f t="shared" si="192"/>
        <v>10783.3</v>
      </c>
      <c r="AD48" s="82">
        <f t="shared" si="192"/>
        <v>14907.9</v>
      </c>
      <c r="AE48" s="81">
        <f t="shared" ref="AE48:AE77" si="216">ROUNDDOWN($C48*AF48,1)</f>
        <v>4763</v>
      </c>
      <c r="AF48" s="80">
        <f>RCF!C$13</f>
        <v>15.52</v>
      </c>
      <c r="AG48" s="77">
        <f t="shared" si="194"/>
        <v>7859</v>
      </c>
      <c r="AH48" s="77">
        <f t="shared" si="194"/>
        <v>10002.299999999999</v>
      </c>
      <c r="AI48" s="77">
        <f t="shared" si="194"/>
        <v>14289</v>
      </c>
      <c r="AJ48" s="81">
        <f t="shared" ref="AJ48:AJ77" si="217">ROUNDDOWN($C48*AK48,1)</f>
        <v>5037.2</v>
      </c>
      <c r="AK48" s="80">
        <f>RCF!C$25</f>
        <v>16.413333333333334</v>
      </c>
      <c r="AL48" s="81">
        <f t="shared" ref="AL48:AL77" si="218">ROUNDDOWN($C48*AM48,1)</f>
        <v>6778.3</v>
      </c>
      <c r="AM48" s="80">
        <f>RCF!C$59</f>
        <v>22.086666666666666</v>
      </c>
      <c r="AN48" s="81">
        <f t="shared" ref="AN48:AN79" si="219">ROUNDDOWN($C48*AO48,1)</f>
        <v>5411.5</v>
      </c>
      <c r="AO48" s="80">
        <f>RCF!C$33</f>
        <v>17.632999999999999</v>
      </c>
      <c r="AP48" s="77">
        <f t="shared" ref="AP48:AP77" si="220">ROUNDDOWN($AN48*AP$6,1)</f>
        <v>8117.2</v>
      </c>
      <c r="AQ48" s="81">
        <f t="shared" ref="AQ48:AQ79" si="221">ROUNDDOWN($C48*AR48,1)</f>
        <v>5349.2</v>
      </c>
      <c r="AR48" s="80">
        <f>RCF!C$35</f>
        <v>17.43</v>
      </c>
      <c r="AS48" s="77">
        <f t="shared" ref="AS48:AT77" si="222">ROUNDDOWN($AQ48*AS$6,1)</f>
        <v>6953.9</v>
      </c>
      <c r="AT48" s="77">
        <f t="shared" si="222"/>
        <v>7756.3</v>
      </c>
      <c r="AU48" s="81">
        <f t="shared" ref="AU48:AU79" si="223">ROUNDDOWN($C48*AV48,1)</f>
        <v>5244.9</v>
      </c>
      <c r="AV48" s="80">
        <f>RCF!C$37</f>
        <v>17.09</v>
      </c>
      <c r="AW48" s="81">
        <f t="shared" si="204"/>
        <v>5255.9</v>
      </c>
      <c r="AX48" s="80">
        <f>RCF!C$64</f>
        <v>17.125999999999998</v>
      </c>
      <c r="AY48" s="81">
        <f t="shared" ref="AY48:AY79" si="224">ROUNDDOWN($C48*AZ48,1)</f>
        <v>5355.4</v>
      </c>
      <c r="AZ48" s="80">
        <f>RCF!C$39</f>
        <v>17.45</v>
      </c>
      <c r="BA48" s="81">
        <f t="shared" ref="BA48:BA79" si="225">ROUNDDOWN($C48*BB48,1)</f>
        <v>5118.7</v>
      </c>
      <c r="BB48" s="80">
        <f>RCF!C$41</f>
        <v>16.678999999999998</v>
      </c>
    </row>
    <row r="49" spans="1:54" s="97" customFormat="1" ht="25.5" x14ac:dyDescent="0.2">
      <c r="A49" s="98" t="s">
        <v>51</v>
      </c>
      <c r="B49" s="83" t="s">
        <v>52</v>
      </c>
      <c r="C49" s="72">
        <v>105</v>
      </c>
      <c r="D49" s="72">
        <f t="shared" si="182"/>
        <v>6718.2</v>
      </c>
      <c r="E49" s="80">
        <f>RCF!C$43</f>
        <v>63.983120993999997</v>
      </c>
      <c r="F49" s="81">
        <f t="shared" si="208"/>
        <v>1754.3</v>
      </c>
      <c r="G49" s="80">
        <f>RCF!C$5</f>
        <v>16.707999999999998</v>
      </c>
      <c r="H49" s="81">
        <f t="shared" si="209"/>
        <v>1754.3</v>
      </c>
      <c r="I49" s="80">
        <f t="shared" si="210"/>
        <v>16.707999999999998</v>
      </c>
      <c r="J49" s="82">
        <f t="shared" si="211"/>
        <v>1929.8</v>
      </c>
      <c r="K49" s="82">
        <f t="shared" si="211"/>
        <v>2403.4</v>
      </c>
      <c r="L49" s="82">
        <f t="shared" si="211"/>
        <v>2578.9</v>
      </c>
      <c r="M49" s="82">
        <f t="shared" si="211"/>
        <v>2842</v>
      </c>
      <c r="N49" s="82">
        <f t="shared" si="211"/>
        <v>3508.7</v>
      </c>
      <c r="O49" s="82">
        <f t="shared" si="211"/>
        <v>3771.8</v>
      </c>
      <c r="P49" s="82">
        <f t="shared" si="211"/>
        <v>5263</v>
      </c>
      <c r="Q49" s="81">
        <f t="shared" si="212"/>
        <v>1727.2</v>
      </c>
      <c r="R49" s="80">
        <f>RCF!C$7</f>
        <v>16.45</v>
      </c>
      <c r="S49" s="82">
        <f t="shared" si="188"/>
        <v>2245.3000000000002</v>
      </c>
      <c r="T49" s="82">
        <f t="shared" si="188"/>
        <v>2590.8000000000002</v>
      </c>
      <c r="U49" s="81">
        <f t="shared" si="213"/>
        <v>1700.1</v>
      </c>
      <c r="V49" s="80">
        <f>RCF!C$9</f>
        <v>16.192</v>
      </c>
      <c r="W49" s="81">
        <f t="shared" si="214"/>
        <v>1700.1</v>
      </c>
      <c r="X49" s="80">
        <f t="shared" si="215"/>
        <v>16.192</v>
      </c>
      <c r="Y49" s="82">
        <f t="shared" si="192"/>
        <v>1870.1</v>
      </c>
      <c r="Z49" s="82">
        <f t="shared" si="192"/>
        <v>2329.1</v>
      </c>
      <c r="AA49" s="82">
        <f t="shared" si="192"/>
        <v>2754.1</v>
      </c>
      <c r="AB49" s="82">
        <f t="shared" si="192"/>
        <v>2499.1</v>
      </c>
      <c r="AC49" s="82">
        <f t="shared" si="192"/>
        <v>3689.2</v>
      </c>
      <c r="AD49" s="82">
        <f t="shared" si="192"/>
        <v>5100.3</v>
      </c>
      <c r="AE49" s="81">
        <f t="shared" si="216"/>
        <v>1629.6</v>
      </c>
      <c r="AF49" s="80">
        <f>RCF!C$13</f>
        <v>15.52</v>
      </c>
      <c r="AG49" s="77">
        <f t="shared" si="194"/>
        <v>2688.8</v>
      </c>
      <c r="AH49" s="77">
        <f t="shared" si="194"/>
        <v>3422.2</v>
      </c>
      <c r="AI49" s="77">
        <f t="shared" si="194"/>
        <v>4888.8</v>
      </c>
      <c r="AJ49" s="81">
        <f t="shared" si="217"/>
        <v>1723.4</v>
      </c>
      <c r="AK49" s="80">
        <f>RCF!C$25</f>
        <v>16.413333333333334</v>
      </c>
      <c r="AL49" s="81">
        <f t="shared" si="218"/>
        <v>2319.1</v>
      </c>
      <c r="AM49" s="80">
        <f>RCF!C$59</f>
        <v>22.086666666666666</v>
      </c>
      <c r="AN49" s="81">
        <f t="shared" si="219"/>
        <v>1851.4</v>
      </c>
      <c r="AO49" s="80">
        <f>RCF!C$33</f>
        <v>17.632999999999999</v>
      </c>
      <c r="AP49" s="77">
        <f t="shared" si="220"/>
        <v>2777.1</v>
      </c>
      <c r="AQ49" s="81">
        <f t="shared" si="221"/>
        <v>1830.1</v>
      </c>
      <c r="AR49" s="80">
        <f>RCF!C$35</f>
        <v>17.43</v>
      </c>
      <c r="AS49" s="77">
        <f t="shared" si="222"/>
        <v>2379.1</v>
      </c>
      <c r="AT49" s="77">
        <f t="shared" si="222"/>
        <v>2653.6</v>
      </c>
      <c r="AU49" s="81">
        <f t="shared" si="223"/>
        <v>1794.4</v>
      </c>
      <c r="AV49" s="80">
        <f>RCF!C$37</f>
        <v>17.09</v>
      </c>
      <c r="AW49" s="81">
        <f t="shared" si="204"/>
        <v>1798.2</v>
      </c>
      <c r="AX49" s="80">
        <f>RCF!C$64</f>
        <v>17.125999999999998</v>
      </c>
      <c r="AY49" s="81">
        <f t="shared" si="224"/>
        <v>1832.2</v>
      </c>
      <c r="AZ49" s="80">
        <f>RCF!C$39</f>
        <v>17.45</v>
      </c>
      <c r="BA49" s="81">
        <f t="shared" si="225"/>
        <v>1751.2</v>
      </c>
      <c r="BB49" s="80">
        <f>RCF!C$41</f>
        <v>16.678999999999998</v>
      </c>
    </row>
    <row r="50" spans="1:54" s="97" customFormat="1" x14ac:dyDescent="0.2">
      <c r="A50" s="98" t="s">
        <v>53</v>
      </c>
      <c r="B50" s="99" t="s">
        <v>54</v>
      </c>
      <c r="C50" s="72">
        <v>150</v>
      </c>
      <c r="D50" s="72">
        <f t="shared" si="182"/>
        <v>9597.5</v>
      </c>
      <c r="E50" s="80">
        <f>RCF!C$43</f>
        <v>63.983120993999997</v>
      </c>
      <c r="F50" s="81">
        <f t="shared" si="208"/>
        <v>2506.1999999999998</v>
      </c>
      <c r="G50" s="80">
        <f>RCF!C$5</f>
        <v>16.707999999999998</v>
      </c>
      <c r="H50" s="81">
        <f t="shared" si="209"/>
        <v>2506.1999999999998</v>
      </c>
      <c r="I50" s="80">
        <f t="shared" si="210"/>
        <v>16.707999999999998</v>
      </c>
      <c r="J50" s="82">
        <f t="shared" si="211"/>
        <v>2756.8</v>
      </c>
      <c r="K50" s="82">
        <f t="shared" si="211"/>
        <v>3433.5</v>
      </c>
      <c r="L50" s="82">
        <f t="shared" si="211"/>
        <v>3684.1</v>
      </c>
      <c r="M50" s="82">
        <f t="shared" si="211"/>
        <v>4060</v>
      </c>
      <c r="N50" s="82">
        <f t="shared" si="211"/>
        <v>5012.3999999999996</v>
      </c>
      <c r="O50" s="82">
        <f t="shared" si="211"/>
        <v>5388.3</v>
      </c>
      <c r="P50" s="82">
        <f t="shared" si="211"/>
        <v>7518.6</v>
      </c>
      <c r="Q50" s="81">
        <f t="shared" si="212"/>
        <v>2467.5</v>
      </c>
      <c r="R50" s="80">
        <f>RCF!C$7</f>
        <v>16.45</v>
      </c>
      <c r="S50" s="82">
        <f t="shared" ref="S50:T77" si="226">ROUNDDOWN($Q50*S$6,1)</f>
        <v>3207.7</v>
      </c>
      <c r="T50" s="82">
        <f t="shared" si="226"/>
        <v>3701.2</v>
      </c>
      <c r="U50" s="81">
        <f t="shared" si="213"/>
        <v>2428.8000000000002</v>
      </c>
      <c r="V50" s="80">
        <f>RCF!C$9</f>
        <v>16.192</v>
      </c>
      <c r="W50" s="81">
        <f t="shared" si="214"/>
        <v>2428.8000000000002</v>
      </c>
      <c r="X50" s="80">
        <f t="shared" si="215"/>
        <v>16.192</v>
      </c>
      <c r="Y50" s="82">
        <f t="shared" ref="Y50:AD77" si="227">ROUNDDOWN($W50*Y$6,1)</f>
        <v>2671.6</v>
      </c>
      <c r="Z50" s="82">
        <f t="shared" si="227"/>
        <v>3327.4</v>
      </c>
      <c r="AA50" s="82">
        <f t="shared" si="227"/>
        <v>3934.6</v>
      </c>
      <c r="AB50" s="82">
        <f t="shared" si="227"/>
        <v>3570.3</v>
      </c>
      <c r="AC50" s="82">
        <f t="shared" si="227"/>
        <v>5270.4</v>
      </c>
      <c r="AD50" s="82">
        <f t="shared" si="227"/>
        <v>7286.4</v>
      </c>
      <c r="AE50" s="81">
        <f t="shared" si="216"/>
        <v>2328</v>
      </c>
      <c r="AF50" s="80">
        <f>RCF!C$13</f>
        <v>15.52</v>
      </c>
      <c r="AG50" s="77">
        <f t="shared" si="194"/>
        <v>3841.2</v>
      </c>
      <c r="AH50" s="77">
        <f t="shared" si="194"/>
        <v>4888.8</v>
      </c>
      <c r="AI50" s="77">
        <f t="shared" si="194"/>
        <v>6984</v>
      </c>
      <c r="AJ50" s="81">
        <f t="shared" si="217"/>
        <v>2462</v>
      </c>
      <c r="AK50" s="80">
        <f>RCF!C$25</f>
        <v>16.413333333333334</v>
      </c>
      <c r="AL50" s="81">
        <f t="shared" si="218"/>
        <v>3313</v>
      </c>
      <c r="AM50" s="80">
        <f>RCF!C$59</f>
        <v>22.086666666666666</v>
      </c>
      <c r="AN50" s="81">
        <f t="shared" si="219"/>
        <v>2644.9</v>
      </c>
      <c r="AO50" s="80">
        <f>RCF!C$33</f>
        <v>17.632999999999999</v>
      </c>
      <c r="AP50" s="77">
        <f t="shared" si="220"/>
        <v>3967.3</v>
      </c>
      <c r="AQ50" s="81">
        <f t="shared" si="221"/>
        <v>2614.5</v>
      </c>
      <c r="AR50" s="80">
        <f>RCF!C$35</f>
        <v>17.43</v>
      </c>
      <c r="AS50" s="77">
        <f t="shared" si="222"/>
        <v>3398.8</v>
      </c>
      <c r="AT50" s="77">
        <f t="shared" si="222"/>
        <v>3791</v>
      </c>
      <c r="AU50" s="81">
        <f t="shared" si="223"/>
        <v>2563.5</v>
      </c>
      <c r="AV50" s="80">
        <f>RCF!C$37</f>
        <v>17.09</v>
      </c>
      <c r="AW50" s="81">
        <f t="shared" si="204"/>
        <v>2568.9</v>
      </c>
      <c r="AX50" s="80">
        <f>RCF!C$64</f>
        <v>17.125999999999998</v>
      </c>
      <c r="AY50" s="81">
        <f t="shared" si="224"/>
        <v>2617.5</v>
      </c>
      <c r="AZ50" s="80">
        <f>RCF!C$39</f>
        <v>17.45</v>
      </c>
      <c r="BA50" s="81">
        <f t="shared" si="225"/>
        <v>2501.8000000000002</v>
      </c>
      <c r="BB50" s="80">
        <f>RCF!C$41</f>
        <v>16.678999999999998</v>
      </c>
    </row>
    <row r="51" spans="1:54" s="97" customFormat="1" x14ac:dyDescent="0.2">
      <c r="A51" s="96" t="s">
        <v>55</v>
      </c>
      <c r="B51" s="79" t="s">
        <v>56</v>
      </c>
      <c r="C51" s="72">
        <v>210</v>
      </c>
      <c r="D51" s="72">
        <f t="shared" si="182"/>
        <v>13436.5</v>
      </c>
      <c r="E51" s="80">
        <f>RCF!C$43</f>
        <v>63.983120993999997</v>
      </c>
      <c r="F51" s="81">
        <f t="shared" si="208"/>
        <v>3508.6</v>
      </c>
      <c r="G51" s="80">
        <f>RCF!C$5</f>
        <v>16.707999999999998</v>
      </c>
      <c r="H51" s="81">
        <f t="shared" si="209"/>
        <v>3508.6</v>
      </c>
      <c r="I51" s="80">
        <f t="shared" si="210"/>
        <v>16.707999999999998</v>
      </c>
      <c r="J51" s="82">
        <f t="shared" si="211"/>
        <v>3859.5</v>
      </c>
      <c r="K51" s="82">
        <f t="shared" si="211"/>
        <v>4806.8999999999996</v>
      </c>
      <c r="L51" s="82">
        <f t="shared" si="211"/>
        <v>5157.8</v>
      </c>
      <c r="M51" s="82">
        <f t="shared" si="211"/>
        <v>5684.1</v>
      </c>
      <c r="N51" s="82">
        <f t="shared" si="211"/>
        <v>7017.4</v>
      </c>
      <c r="O51" s="82">
        <f t="shared" si="211"/>
        <v>7543.7</v>
      </c>
      <c r="P51" s="82">
        <f t="shared" si="211"/>
        <v>10526</v>
      </c>
      <c r="Q51" s="81">
        <f t="shared" si="212"/>
        <v>3454.5</v>
      </c>
      <c r="R51" s="80">
        <f>RCF!C$7</f>
        <v>16.45</v>
      </c>
      <c r="S51" s="82">
        <f t="shared" si="226"/>
        <v>4490.8</v>
      </c>
      <c r="T51" s="82">
        <f t="shared" si="226"/>
        <v>5181.7</v>
      </c>
      <c r="U51" s="81">
        <f t="shared" si="213"/>
        <v>3400.3</v>
      </c>
      <c r="V51" s="80">
        <f>RCF!C$9</f>
        <v>16.192</v>
      </c>
      <c r="W51" s="81">
        <f t="shared" si="214"/>
        <v>3400.3</v>
      </c>
      <c r="X51" s="80">
        <f t="shared" si="215"/>
        <v>16.192</v>
      </c>
      <c r="Y51" s="82">
        <f t="shared" si="227"/>
        <v>3740.3</v>
      </c>
      <c r="Z51" s="82">
        <f t="shared" si="227"/>
        <v>4658.3999999999996</v>
      </c>
      <c r="AA51" s="82">
        <f t="shared" si="227"/>
        <v>5508.4</v>
      </c>
      <c r="AB51" s="82">
        <f t="shared" si="227"/>
        <v>4998.3999999999996</v>
      </c>
      <c r="AC51" s="82">
        <f t="shared" si="227"/>
        <v>7378.6</v>
      </c>
      <c r="AD51" s="82">
        <f t="shared" si="227"/>
        <v>10200.9</v>
      </c>
      <c r="AE51" s="81">
        <f t="shared" si="216"/>
        <v>3259.2</v>
      </c>
      <c r="AF51" s="80">
        <f>RCF!C$13</f>
        <v>15.52</v>
      </c>
      <c r="AG51" s="77">
        <f t="shared" si="194"/>
        <v>5377.7</v>
      </c>
      <c r="AH51" s="77">
        <f t="shared" si="194"/>
        <v>6844.3</v>
      </c>
      <c r="AI51" s="77">
        <f t="shared" si="194"/>
        <v>9777.6</v>
      </c>
      <c r="AJ51" s="81">
        <f t="shared" si="217"/>
        <v>3446.8</v>
      </c>
      <c r="AK51" s="80">
        <f>RCF!C$25</f>
        <v>16.413333333333334</v>
      </c>
      <c r="AL51" s="81">
        <f t="shared" si="218"/>
        <v>4638.2</v>
      </c>
      <c r="AM51" s="80">
        <f>RCF!C$59</f>
        <v>22.086666666666666</v>
      </c>
      <c r="AN51" s="81">
        <f t="shared" si="219"/>
        <v>3702.9</v>
      </c>
      <c r="AO51" s="80">
        <f>RCF!C$33</f>
        <v>17.632999999999999</v>
      </c>
      <c r="AP51" s="77">
        <f t="shared" si="220"/>
        <v>5554.3</v>
      </c>
      <c r="AQ51" s="81">
        <f t="shared" si="221"/>
        <v>3660.3</v>
      </c>
      <c r="AR51" s="80">
        <f>RCF!C$35</f>
        <v>17.43</v>
      </c>
      <c r="AS51" s="77">
        <f t="shared" si="222"/>
        <v>4758.3</v>
      </c>
      <c r="AT51" s="77">
        <f t="shared" si="222"/>
        <v>5307.4</v>
      </c>
      <c r="AU51" s="81">
        <f t="shared" si="223"/>
        <v>3588.9</v>
      </c>
      <c r="AV51" s="80">
        <f>RCF!C$37</f>
        <v>17.09</v>
      </c>
      <c r="AW51" s="81">
        <f t="shared" si="204"/>
        <v>3596.4</v>
      </c>
      <c r="AX51" s="80">
        <f>RCF!C$64</f>
        <v>17.125999999999998</v>
      </c>
      <c r="AY51" s="81">
        <f t="shared" si="224"/>
        <v>3664.5</v>
      </c>
      <c r="AZ51" s="80">
        <f>RCF!C$39</f>
        <v>17.45</v>
      </c>
      <c r="BA51" s="81">
        <f t="shared" si="225"/>
        <v>3502.5</v>
      </c>
      <c r="BB51" s="80">
        <f>RCF!C$41</f>
        <v>16.678999999999998</v>
      </c>
    </row>
    <row r="52" spans="1:54" s="97" customFormat="1" ht="25.5" x14ac:dyDescent="0.2">
      <c r="A52" s="96" t="s">
        <v>57</v>
      </c>
      <c r="B52" s="79" t="s">
        <v>58</v>
      </c>
      <c r="C52" s="72">
        <v>57</v>
      </c>
      <c r="D52" s="72">
        <f t="shared" si="182"/>
        <v>3647</v>
      </c>
      <c r="E52" s="80">
        <f>RCF!C$43</f>
        <v>63.983120993999997</v>
      </c>
      <c r="F52" s="81">
        <f t="shared" si="208"/>
        <v>952.3</v>
      </c>
      <c r="G52" s="80">
        <f>RCF!C$5</f>
        <v>16.707999999999998</v>
      </c>
      <c r="H52" s="81">
        <f t="shared" si="209"/>
        <v>952.3</v>
      </c>
      <c r="I52" s="80">
        <f t="shared" si="210"/>
        <v>16.707999999999998</v>
      </c>
      <c r="J52" s="82">
        <f t="shared" si="211"/>
        <v>1047.5999999999999</v>
      </c>
      <c r="K52" s="82">
        <f t="shared" si="211"/>
        <v>1304.7</v>
      </c>
      <c r="L52" s="82">
        <f t="shared" si="211"/>
        <v>1400</v>
      </c>
      <c r="M52" s="82">
        <f t="shared" si="211"/>
        <v>1542.8</v>
      </c>
      <c r="N52" s="82">
        <f t="shared" si="211"/>
        <v>1904.7</v>
      </c>
      <c r="O52" s="82">
        <f t="shared" si="211"/>
        <v>2047.6</v>
      </c>
      <c r="P52" s="82">
        <f t="shared" si="211"/>
        <v>2857.1</v>
      </c>
      <c r="Q52" s="81">
        <f t="shared" si="212"/>
        <v>937.6</v>
      </c>
      <c r="R52" s="80">
        <f>RCF!C$7</f>
        <v>16.45</v>
      </c>
      <c r="S52" s="82">
        <f t="shared" si="226"/>
        <v>1218.8</v>
      </c>
      <c r="T52" s="82">
        <f t="shared" si="226"/>
        <v>1406.4</v>
      </c>
      <c r="U52" s="81">
        <f t="shared" si="213"/>
        <v>922.9</v>
      </c>
      <c r="V52" s="80">
        <f>RCF!C$9</f>
        <v>16.192</v>
      </c>
      <c r="W52" s="81">
        <f t="shared" si="214"/>
        <v>922.9</v>
      </c>
      <c r="X52" s="80">
        <f t="shared" si="215"/>
        <v>16.192</v>
      </c>
      <c r="Y52" s="82">
        <f t="shared" si="227"/>
        <v>1015.1</v>
      </c>
      <c r="Z52" s="82">
        <f t="shared" si="227"/>
        <v>1264.3</v>
      </c>
      <c r="AA52" s="82">
        <f t="shared" si="227"/>
        <v>1495</v>
      </c>
      <c r="AB52" s="82">
        <f t="shared" si="227"/>
        <v>1356.6</v>
      </c>
      <c r="AC52" s="82">
        <f t="shared" si="227"/>
        <v>2002.6</v>
      </c>
      <c r="AD52" s="82">
        <f t="shared" si="227"/>
        <v>2768.7</v>
      </c>
      <c r="AE52" s="81">
        <f t="shared" si="216"/>
        <v>884.6</v>
      </c>
      <c r="AF52" s="80">
        <f>RCF!C$13</f>
        <v>15.52</v>
      </c>
      <c r="AG52" s="77">
        <f t="shared" si="194"/>
        <v>1459.6</v>
      </c>
      <c r="AH52" s="77">
        <f t="shared" si="194"/>
        <v>1857.7</v>
      </c>
      <c r="AI52" s="77">
        <f t="shared" si="194"/>
        <v>2653.8</v>
      </c>
      <c r="AJ52" s="81">
        <f t="shared" si="217"/>
        <v>935.5</v>
      </c>
      <c r="AK52" s="80">
        <f>RCF!C$25</f>
        <v>16.413333333333334</v>
      </c>
      <c r="AL52" s="81">
        <f t="shared" si="218"/>
        <v>1258.9000000000001</v>
      </c>
      <c r="AM52" s="80">
        <f>RCF!C$59</f>
        <v>22.086666666666666</v>
      </c>
      <c r="AN52" s="81">
        <f t="shared" si="219"/>
        <v>1005</v>
      </c>
      <c r="AO52" s="80">
        <f>RCF!C$33</f>
        <v>17.632999999999999</v>
      </c>
      <c r="AP52" s="77">
        <f t="shared" si="220"/>
        <v>1507.5</v>
      </c>
      <c r="AQ52" s="81">
        <f t="shared" si="221"/>
        <v>993.5</v>
      </c>
      <c r="AR52" s="80">
        <f>RCF!C$35</f>
        <v>17.43</v>
      </c>
      <c r="AS52" s="77">
        <f t="shared" si="222"/>
        <v>1291.5</v>
      </c>
      <c r="AT52" s="77">
        <f t="shared" si="222"/>
        <v>1440.5</v>
      </c>
      <c r="AU52" s="81">
        <f t="shared" si="223"/>
        <v>974.1</v>
      </c>
      <c r="AV52" s="80">
        <f>RCF!C$37</f>
        <v>17.09</v>
      </c>
      <c r="AW52" s="81">
        <f t="shared" si="204"/>
        <v>976.1</v>
      </c>
      <c r="AX52" s="80">
        <f>RCF!C$64</f>
        <v>17.125999999999998</v>
      </c>
      <c r="AY52" s="81">
        <f t="shared" si="224"/>
        <v>994.6</v>
      </c>
      <c r="AZ52" s="80">
        <f>RCF!C$39</f>
        <v>17.45</v>
      </c>
      <c r="BA52" s="81">
        <f t="shared" si="225"/>
        <v>950.7</v>
      </c>
      <c r="BB52" s="80">
        <f>RCF!C$41</f>
        <v>16.678999999999998</v>
      </c>
    </row>
    <row r="53" spans="1:54" s="97" customFormat="1" x14ac:dyDescent="0.2">
      <c r="A53" s="98" t="s">
        <v>59</v>
      </c>
      <c r="B53" s="79" t="s">
        <v>60</v>
      </c>
      <c r="C53" s="72">
        <v>105</v>
      </c>
      <c r="D53" s="72">
        <f t="shared" si="182"/>
        <v>6718.2</v>
      </c>
      <c r="E53" s="80">
        <f>RCF!C$43</f>
        <v>63.983120993999997</v>
      </c>
      <c r="F53" s="81">
        <f t="shared" si="208"/>
        <v>1754.3</v>
      </c>
      <c r="G53" s="80">
        <f>RCF!C$5</f>
        <v>16.707999999999998</v>
      </c>
      <c r="H53" s="81">
        <f t="shared" si="209"/>
        <v>1754.3</v>
      </c>
      <c r="I53" s="80">
        <f t="shared" si="210"/>
        <v>16.707999999999998</v>
      </c>
      <c r="J53" s="82">
        <f t="shared" si="211"/>
        <v>1929.8</v>
      </c>
      <c r="K53" s="82">
        <f t="shared" si="211"/>
        <v>2403.4</v>
      </c>
      <c r="L53" s="82">
        <f t="shared" si="211"/>
        <v>2578.9</v>
      </c>
      <c r="M53" s="82">
        <f t="shared" si="211"/>
        <v>2842</v>
      </c>
      <c r="N53" s="82">
        <f t="shared" si="211"/>
        <v>3508.7</v>
      </c>
      <c r="O53" s="82">
        <f t="shared" si="211"/>
        <v>3771.8</v>
      </c>
      <c r="P53" s="82">
        <f t="shared" si="211"/>
        <v>5263</v>
      </c>
      <c r="Q53" s="81">
        <f t="shared" si="212"/>
        <v>1727.2</v>
      </c>
      <c r="R53" s="80">
        <f>RCF!C$7</f>
        <v>16.45</v>
      </c>
      <c r="S53" s="82">
        <f t="shared" si="226"/>
        <v>2245.3000000000002</v>
      </c>
      <c r="T53" s="82">
        <f t="shared" si="226"/>
        <v>2590.8000000000002</v>
      </c>
      <c r="U53" s="81">
        <f t="shared" si="213"/>
        <v>1700.1</v>
      </c>
      <c r="V53" s="80">
        <f>RCF!C$9</f>
        <v>16.192</v>
      </c>
      <c r="W53" s="81">
        <f t="shared" si="214"/>
        <v>1700.1</v>
      </c>
      <c r="X53" s="80">
        <f t="shared" si="215"/>
        <v>16.192</v>
      </c>
      <c r="Y53" s="82">
        <f t="shared" si="227"/>
        <v>1870.1</v>
      </c>
      <c r="Z53" s="82">
        <f t="shared" si="227"/>
        <v>2329.1</v>
      </c>
      <c r="AA53" s="82">
        <f t="shared" si="227"/>
        <v>2754.1</v>
      </c>
      <c r="AB53" s="82">
        <f t="shared" si="227"/>
        <v>2499.1</v>
      </c>
      <c r="AC53" s="82">
        <f t="shared" si="227"/>
        <v>3689.2</v>
      </c>
      <c r="AD53" s="82">
        <f t="shared" si="227"/>
        <v>5100.3</v>
      </c>
      <c r="AE53" s="81">
        <f t="shared" si="216"/>
        <v>1629.6</v>
      </c>
      <c r="AF53" s="80">
        <f>RCF!C$13</f>
        <v>15.52</v>
      </c>
      <c r="AG53" s="77">
        <f t="shared" si="194"/>
        <v>2688.8</v>
      </c>
      <c r="AH53" s="77">
        <f t="shared" si="194"/>
        <v>3422.2</v>
      </c>
      <c r="AI53" s="77">
        <f t="shared" si="194"/>
        <v>4888.8</v>
      </c>
      <c r="AJ53" s="81">
        <f t="shared" si="217"/>
        <v>1723.4</v>
      </c>
      <c r="AK53" s="80">
        <f>RCF!C$25</f>
        <v>16.413333333333334</v>
      </c>
      <c r="AL53" s="81">
        <f t="shared" si="218"/>
        <v>2319.1</v>
      </c>
      <c r="AM53" s="80">
        <f>RCF!C$59</f>
        <v>22.086666666666666</v>
      </c>
      <c r="AN53" s="81">
        <f t="shared" si="219"/>
        <v>1851.4</v>
      </c>
      <c r="AO53" s="80">
        <f>RCF!C$33</f>
        <v>17.632999999999999</v>
      </c>
      <c r="AP53" s="77">
        <f t="shared" si="220"/>
        <v>2777.1</v>
      </c>
      <c r="AQ53" s="81">
        <f t="shared" si="221"/>
        <v>1830.1</v>
      </c>
      <c r="AR53" s="80">
        <f>RCF!C$35</f>
        <v>17.43</v>
      </c>
      <c r="AS53" s="77">
        <f t="shared" si="222"/>
        <v>2379.1</v>
      </c>
      <c r="AT53" s="77">
        <f t="shared" si="222"/>
        <v>2653.6</v>
      </c>
      <c r="AU53" s="81">
        <f t="shared" si="223"/>
        <v>1794.4</v>
      </c>
      <c r="AV53" s="80">
        <f>RCF!C$37</f>
        <v>17.09</v>
      </c>
      <c r="AW53" s="81">
        <f t="shared" si="204"/>
        <v>1798.2</v>
      </c>
      <c r="AX53" s="80">
        <f>RCF!C$64</f>
        <v>17.125999999999998</v>
      </c>
      <c r="AY53" s="81">
        <f t="shared" si="224"/>
        <v>1832.2</v>
      </c>
      <c r="AZ53" s="80">
        <f>RCF!C$39</f>
        <v>17.45</v>
      </c>
      <c r="BA53" s="81">
        <f t="shared" si="225"/>
        <v>1751.2</v>
      </c>
      <c r="BB53" s="80">
        <f>RCF!C$41</f>
        <v>16.678999999999998</v>
      </c>
    </row>
    <row r="54" spans="1:54" s="97" customFormat="1" x14ac:dyDescent="0.2">
      <c r="A54" s="96" t="s">
        <v>61</v>
      </c>
      <c r="B54" s="99" t="s">
        <v>62</v>
      </c>
      <c r="C54" s="72">
        <v>210</v>
      </c>
      <c r="D54" s="72">
        <f t="shared" si="182"/>
        <v>13436.5</v>
      </c>
      <c r="E54" s="80">
        <f>RCF!C$43</f>
        <v>63.983120993999997</v>
      </c>
      <c r="F54" s="81">
        <f t="shared" si="208"/>
        <v>3508.6</v>
      </c>
      <c r="G54" s="80">
        <f>RCF!C$5</f>
        <v>16.707999999999998</v>
      </c>
      <c r="H54" s="81">
        <f t="shared" si="209"/>
        <v>3508.6</v>
      </c>
      <c r="I54" s="80">
        <f t="shared" si="210"/>
        <v>16.707999999999998</v>
      </c>
      <c r="J54" s="82">
        <f t="shared" si="211"/>
        <v>3859.5</v>
      </c>
      <c r="K54" s="82">
        <f t="shared" si="211"/>
        <v>4806.8999999999996</v>
      </c>
      <c r="L54" s="82">
        <f t="shared" si="211"/>
        <v>5157.8</v>
      </c>
      <c r="M54" s="82">
        <f t="shared" si="211"/>
        <v>5684.1</v>
      </c>
      <c r="N54" s="82">
        <f t="shared" si="211"/>
        <v>7017.4</v>
      </c>
      <c r="O54" s="82">
        <f t="shared" si="211"/>
        <v>7543.7</v>
      </c>
      <c r="P54" s="82">
        <f t="shared" si="211"/>
        <v>10526</v>
      </c>
      <c r="Q54" s="81">
        <f t="shared" si="212"/>
        <v>3454.5</v>
      </c>
      <c r="R54" s="80">
        <f>RCF!C$7</f>
        <v>16.45</v>
      </c>
      <c r="S54" s="82">
        <f t="shared" si="226"/>
        <v>4490.8</v>
      </c>
      <c r="T54" s="82">
        <f t="shared" si="226"/>
        <v>5181.7</v>
      </c>
      <c r="U54" s="81">
        <f t="shared" si="213"/>
        <v>3400.3</v>
      </c>
      <c r="V54" s="80">
        <f>RCF!C$9</f>
        <v>16.192</v>
      </c>
      <c r="W54" s="81">
        <f t="shared" si="214"/>
        <v>3400.3</v>
      </c>
      <c r="X54" s="80">
        <f t="shared" si="215"/>
        <v>16.192</v>
      </c>
      <c r="Y54" s="82">
        <f t="shared" si="227"/>
        <v>3740.3</v>
      </c>
      <c r="Z54" s="82">
        <f t="shared" si="227"/>
        <v>4658.3999999999996</v>
      </c>
      <c r="AA54" s="82">
        <f t="shared" si="227"/>
        <v>5508.4</v>
      </c>
      <c r="AB54" s="82">
        <f t="shared" si="227"/>
        <v>4998.3999999999996</v>
      </c>
      <c r="AC54" s="82">
        <f t="shared" si="227"/>
        <v>7378.6</v>
      </c>
      <c r="AD54" s="82">
        <f t="shared" si="227"/>
        <v>10200.9</v>
      </c>
      <c r="AE54" s="81">
        <f t="shared" si="216"/>
        <v>3259.2</v>
      </c>
      <c r="AF54" s="80">
        <f>RCF!C$13</f>
        <v>15.52</v>
      </c>
      <c r="AG54" s="77">
        <f t="shared" ref="AG54:AI77" si="228">ROUND($AE54*AG$6,1)</f>
        <v>5377.7</v>
      </c>
      <c r="AH54" s="77">
        <f t="shared" si="228"/>
        <v>6844.3</v>
      </c>
      <c r="AI54" s="77">
        <f t="shared" si="228"/>
        <v>9777.6</v>
      </c>
      <c r="AJ54" s="81">
        <f t="shared" si="217"/>
        <v>3446.8</v>
      </c>
      <c r="AK54" s="80">
        <f>RCF!C$25</f>
        <v>16.413333333333334</v>
      </c>
      <c r="AL54" s="81">
        <f t="shared" si="218"/>
        <v>4638.2</v>
      </c>
      <c r="AM54" s="80">
        <f>RCF!C$59</f>
        <v>22.086666666666666</v>
      </c>
      <c r="AN54" s="81">
        <f t="shared" si="219"/>
        <v>3702.9</v>
      </c>
      <c r="AO54" s="80">
        <f>RCF!C$33</f>
        <v>17.632999999999999</v>
      </c>
      <c r="AP54" s="77">
        <f t="shared" si="220"/>
        <v>5554.3</v>
      </c>
      <c r="AQ54" s="81">
        <f t="shared" si="221"/>
        <v>3660.3</v>
      </c>
      <c r="AR54" s="80">
        <f>RCF!C$35</f>
        <v>17.43</v>
      </c>
      <c r="AS54" s="77">
        <f t="shared" si="222"/>
        <v>4758.3</v>
      </c>
      <c r="AT54" s="77">
        <f t="shared" si="222"/>
        <v>5307.4</v>
      </c>
      <c r="AU54" s="81">
        <f t="shared" si="223"/>
        <v>3588.9</v>
      </c>
      <c r="AV54" s="80">
        <f>RCF!C$37</f>
        <v>17.09</v>
      </c>
      <c r="AW54" s="81">
        <f t="shared" si="204"/>
        <v>3596.4</v>
      </c>
      <c r="AX54" s="80">
        <f>RCF!C$64</f>
        <v>17.125999999999998</v>
      </c>
      <c r="AY54" s="81">
        <f t="shared" si="224"/>
        <v>3664.5</v>
      </c>
      <c r="AZ54" s="80">
        <f>RCF!C$39</f>
        <v>17.45</v>
      </c>
      <c r="BA54" s="81">
        <f t="shared" si="225"/>
        <v>3502.5</v>
      </c>
      <c r="BB54" s="80">
        <f>RCF!C$41</f>
        <v>16.678999999999998</v>
      </c>
    </row>
    <row r="55" spans="1:54" s="97" customFormat="1" x14ac:dyDescent="0.2">
      <c r="A55" s="98" t="s">
        <v>63</v>
      </c>
      <c r="B55" s="79" t="s">
        <v>64</v>
      </c>
      <c r="C55" s="72">
        <v>247.6</v>
      </c>
      <c r="D55" s="72">
        <f t="shared" si="182"/>
        <v>15842.2</v>
      </c>
      <c r="E55" s="80">
        <f>RCF!C$43</f>
        <v>63.983120993999997</v>
      </c>
      <c r="F55" s="81">
        <f t="shared" si="208"/>
        <v>4136.8999999999996</v>
      </c>
      <c r="G55" s="80">
        <f>RCF!C$5</f>
        <v>16.707999999999998</v>
      </c>
      <c r="H55" s="81">
        <f t="shared" si="209"/>
        <v>4136.8999999999996</v>
      </c>
      <c r="I55" s="80">
        <f t="shared" si="210"/>
        <v>16.707999999999998</v>
      </c>
      <c r="J55" s="82">
        <f t="shared" si="211"/>
        <v>4550.6000000000004</v>
      </c>
      <c r="K55" s="82">
        <f t="shared" si="211"/>
        <v>5667.6</v>
      </c>
      <c r="L55" s="82">
        <f t="shared" si="211"/>
        <v>6081.2</v>
      </c>
      <c r="M55" s="82">
        <f t="shared" si="211"/>
        <v>6701.8</v>
      </c>
      <c r="N55" s="82">
        <f t="shared" si="211"/>
        <v>8273.7999999999993</v>
      </c>
      <c r="O55" s="82">
        <f t="shared" si="211"/>
        <v>8894.2999999999993</v>
      </c>
      <c r="P55" s="82">
        <f t="shared" si="211"/>
        <v>12410.7</v>
      </c>
      <c r="Q55" s="81">
        <f t="shared" si="212"/>
        <v>4073</v>
      </c>
      <c r="R55" s="80">
        <f>RCF!C$7</f>
        <v>16.45</v>
      </c>
      <c r="S55" s="82">
        <f t="shared" si="226"/>
        <v>5294.9</v>
      </c>
      <c r="T55" s="82">
        <f t="shared" si="226"/>
        <v>6109.5</v>
      </c>
      <c r="U55" s="81">
        <f t="shared" si="213"/>
        <v>4009.1</v>
      </c>
      <c r="V55" s="80">
        <f>RCF!C$9</f>
        <v>16.192</v>
      </c>
      <c r="W55" s="81">
        <f t="shared" si="214"/>
        <v>4009.1</v>
      </c>
      <c r="X55" s="80">
        <f t="shared" si="215"/>
        <v>16.192</v>
      </c>
      <c r="Y55" s="82">
        <f t="shared" si="227"/>
        <v>4410</v>
      </c>
      <c r="Z55" s="82">
        <f t="shared" si="227"/>
        <v>5492.4</v>
      </c>
      <c r="AA55" s="82">
        <f t="shared" si="227"/>
        <v>6494.7</v>
      </c>
      <c r="AB55" s="82">
        <f t="shared" si="227"/>
        <v>5893.3</v>
      </c>
      <c r="AC55" s="82">
        <f t="shared" si="227"/>
        <v>8699.7000000000007</v>
      </c>
      <c r="AD55" s="82">
        <f t="shared" si="227"/>
        <v>12027.3</v>
      </c>
      <c r="AE55" s="81">
        <f t="shared" si="216"/>
        <v>3842.7</v>
      </c>
      <c r="AF55" s="80">
        <f>RCF!C$13</f>
        <v>15.52</v>
      </c>
      <c r="AG55" s="77">
        <f t="shared" si="228"/>
        <v>6340.5</v>
      </c>
      <c r="AH55" s="77">
        <f t="shared" si="228"/>
        <v>8069.7</v>
      </c>
      <c r="AI55" s="77">
        <f t="shared" si="228"/>
        <v>11528.1</v>
      </c>
      <c r="AJ55" s="81">
        <f t="shared" si="217"/>
        <v>4063.9</v>
      </c>
      <c r="AK55" s="80">
        <f>RCF!C$25</f>
        <v>16.413333333333334</v>
      </c>
      <c r="AL55" s="81">
        <f t="shared" si="218"/>
        <v>5468.6</v>
      </c>
      <c r="AM55" s="80">
        <f>RCF!C$59</f>
        <v>22.086666666666666</v>
      </c>
      <c r="AN55" s="81">
        <f t="shared" si="219"/>
        <v>4365.8999999999996</v>
      </c>
      <c r="AO55" s="80">
        <f>RCF!C$33</f>
        <v>17.632999999999999</v>
      </c>
      <c r="AP55" s="77">
        <f t="shared" si="220"/>
        <v>6548.8</v>
      </c>
      <c r="AQ55" s="81">
        <f t="shared" si="221"/>
        <v>4315.6000000000004</v>
      </c>
      <c r="AR55" s="80">
        <f>RCF!C$35</f>
        <v>17.43</v>
      </c>
      <c r="AS55" s="77">
        <f t="shared" si="222"/>
        <v>5610.2</v>
      </c>
      <c r="AT55" s="77">
        <f t="shared" si="222"/>
        <v>6257.6</v>
      </c>
      <c r="AU55" s="81">
        <f t="shared" si="223"/>
        <v>4231.3999999999996</v>
      </c>
      <c r="AV55" s="80">
        <f>RCF!C$37</f>
        <v>17.09</v>
      </c>
      <c r="AW55" s="81">
        <f t="shared" si="204"/>
        <v>4240.3</v>
      </c>
      <c r="AX55" s="80">
        <f>RCF!C$64</f>
        <v>17.125999999999998</v>
      </c>
      <c r="AY55" s="81">
        <f t="shared" si="224"/>
        <v>4320.6000000000004</v>
      </c>
      <c r="AZ55" s="80">
        <f>RCF!C$39</f>
        <v>17.45</v>
      </c>
      <c r="BA55" s="81">
        <f t="shared" si="225"/>
        <v>4129.7</v>
      </c>
      <c r="BB55" s="80">
        <f>RCF!C$41</f>
        <v>16.678999999999998</v>
      </c>
    </row>
    <row r="56" spans="1:54" s="97" customFormat="1" ht="25.5" x14ac:dyDescent="0.2">
      <c r="A56" s="98" t="s">
        <v>65</v>
      </c>
      <c r="B56" s="79" t="s">
        <v>66</v>
      </c>
      <c r="C56" s="72">
        <v>175.6</v>
      </c>
      <c r="D56" s="72">
        <f t="shared" si="182"/>
        <v>11235.4</v>
      </c>
      <c r="E56" s="80">
        <f>RCF!C$43</f>
        <v>63.983120993999997</v>
      </c>
      <c r="F56" s="81">
        <f t="shared" si="208"/>
        <v>2933.9</v>
      </c>
      <c r="G56" s="80">
        <f>RCF!C$5</f>
        <v>16.707999999999998</v>
      </c>
      <c r="H56" s="81">
        <f t="shared" si="209"/>
        <v>2933.9</v>
      </c>
      <c r="I56" s="80">
        <f t="shared" si="210"/>
        <v>16.707999999999998</v>
      </c>
      <c r="J56" s="82">
        <f t="shared" si="211"/>
        <v>3227.3</v>
      </c>
      <c r="K56" s="82">
        <f t="shared" si="211"/>
        <v>4019.5</v>
      </c>
      <c r="L56" s="82">
        <f t="shared" si="211"/>
        <v>4312.8999999999996</v>
      </c>
      <c r="M56" s="82">
        <f t="shared" si="211"/>
        <v>4753</v>
      </c>
      <c r="N56" s="82">
        <f t="shared" si="211"/>
        <v>5867.8</v>
      </c>
      <c r="O56" s="82">
        <f t="shared" si="211"/>
        <v>6307.9</v>
      </c>
      <c r="P56" s="82">
        <f t="shared" si="211"/>
        <v>8801.7999999999993</v>
      </c>
      <c r="Q56" s="81">
        <f t="shared" si="212"/>
        <v>2888.6</v>
      </c>
      <c r="R56" s="80">
        <f>RCF!C$7</f>
        <v>16.45</v>
      </c>
      <c r="S56" s="82">
        <f t="shared" si="226"/>
        <v>3755.1</v>
      </c>
      <c r="T56" s="82">
        <f t="shared" si="226"/>
        <v>4332.8999999999996</v>
      </c>
      <c r="U56" s="81">
        <f t="shared" si="213"/>
        <v>2843.3</v>
      </c>
      <c r="V56" s="80">
        <f>RCF!C$9</f>
        <v>16.192</v>
      </c>
      <c r="W56" s="81">
        <f t="shared" si="214"/>
        <v>2843.3</v>
      </c>
      <c r="X56" s="80">
        <f t="shared" si="215"/>
        <v>16.192</v>
      </c>
      <c r="Y56" s="82">
        <f t="shared" si="227"/>
        <v>3127.6</v>
      </c>
      <c r="Z56" s="82">
        <f t="shared" si="227"/>
        <v>3895.3</v>
      </c>
      <c r="AA56" s="82">
        <f t="shared" si="227"/>
        <v>4606.1000000000004</v>
      </c>
      <c r="AB56" s="82">
        <f t="shared" si="227"/>
        <v>4179.6000000000004</v>
      </c>
      <c r="AC56" s="82">
        <f t="shared" si="227"/>
        <v>6169.9</v>
      </c>
      <c r="AD56" s="82">
        <f t="shared" si="227"/>
        <v>8529.9</v>
      </c>
      <c r="AE56" s="81">
        <f t="shared" si="216"/>
        <v>2725.3</v>
      </c>
      <c r="AF56" s="80">
        <f>RCF!C$13</f>
        <v>15.52</v>
      </c>
      <c r="AG56" s="77">
        <f t="shared" si="228"/>
        <v>4496.7</v>
      </c>
      <c r="AH56" s="77">
        <f t="shared" si="228"/>
        <v>5723.1</v>
      </c>
      <c r="AI56" s="77">
        <f t="shared" si="228"/>
        <v>8175.9</v>
      </c>
      <c r="AJ56" s="81">
        <f t="shared" si="217"/>
        <v>2882.1</v>
      </c>
      <c r="AK56" s="80">
        <f>RCF!C$25</f>
        <v>16.413333333333334</v>
      </c>
      <c r="AL56" s="81">
        <f t="shared" si="218"/>
        <v>3878.4</v>
      </c>
      <c r="AM56" s="80">
        <f>RCF!C$59</f>
        <v>22.086666666666666</v>
      </c>
      <c r="AN56" s="81">
        <f t="shared" si="219"/>
        <v>3096.3</v>
      </c>
      <c r="AO56" s="80">
        <f>RCF!C$33</f>
        <v>17.632999999999999</v>
      </c>
      <c r="AP56" s="77">
        <f t="shared" si="220"/>
        <v>4644.3999999999996</v>
      </c>
      <c r="AQ56" s="81">
        <f t="shared" si="221"/>
        <v>3060.7</v>
      </c>
      <c r="AR56" s="80">
        <f>RCF!C$35</f>
        <v>17.43</v>
      </c>
      <c r="AS56" s="77">
        <f t="shared" si="222"/>
        <v>3978.9</v>
      </c>
      <c r="AT56" s="77">
        <f t="shared" si="222"/>
        <v>4438</v>
      </c>
      <c r="AU56" s="81">
        <f t="shared" si="223"/>
        <v>3001</v>
      </c>
      <c r="AV56" s="80">
        <f>RCF!C$37</f>
        <v>17.09</v>
      </c>
      <c r="AW56" s="81">
        <f t="shared" si="204"/>
        <v>3007.3</v>
      </c>
      <c r="AX56" s="80">
        <f>RCF!C$64</f>
        <v>17.125999999999998</v>
      </c>
      <c r="AY56" s="81">
        <f t="shared" si="224"/>
        <v>3064.2</v>
      </c>
      <c r="AZ56" s="80">
        <f>RCF!C$39</f>
        <v>17.45</v>
      </c>
      <c r="BA56" s="81">
        <f t="shared" si="225"/>
        <v>2928.8</v>
      </c>
      <c r="BB56" s="80">
        <f>RCF!C$41</f>
        <v>16.678999999999998</v>
      </c>
    </row>
    <row r="57" spans="1:54" s="97" customFormat="1" x14ac:dyDescent="0.2">
      <c r="A57" s="98" t="s">
        <v>234</v>
      </c>
      <c r="B57" s="79" t="s">
        <v>235</v>
      </c>
      <c r="C57" s="72">
        <v>47.6</v>
      </c>
      <c r="D57" s="72">
        <f t="shared" ref="D57" si="229">ROUND(E57*C57,1)</f>
        <v>3045.6</v>
      </c>
      <c r="E57" s="80">
        <f>RCF!C$43</f>
        <v>63.983120993999997</v>
      </c>
      <c r="F57" s="81">
        <f t="shared" ref="F57" si="230">ROUNDDOWN($C57*G57,1)</f>
        <v>795.3</v>
      </c>
      <c r="G57" s="80">
        <f>RCF!C$5</f>
        <v>16.707999999999998</v>
      </c>
      <c r="H57" s="81">
        <f t="shared" ref="H57" si="231">ROUNDDOWN($C57*I57,1)</f>
        <v>795.3</v>
      </c>
      <c r="I57" s="80">
        <f t="shared" ref="I57" si="232">G57</f>
        <v>16.707999999999998</v>
      </c>
      <c r="J57" s="82">
        <f t="shared" si="211"/>
        <v>874.8</v>
      </c>
      <c r="K57" s="82">
        <f t="shared" si="211"/>
        <v>1089.5999999999999</v>
      </c>
      <c r="L57" s="82">
        <f t="shared" si="211"/>
        <v>1169.0999999999999</v>
      </c>
      <c r="M57" s="82">
        <f t="shared" si="211"/>
        <v>1288.4000000000001</v>
      </c>
      <c r="N57" s="82">
        <f t="shared" si="211"/>
        <v>1590.6</v>
      </c>
      <c r="O57" s="82">
        <f t="shared" si="211"/>
        <v>1709.9</v>
      </c>
      <c r="P57" s="82">
        <f t="shared" si="211"/>
        <v>2385.9</v>
      </c>
      <c r="Q57" s="81">
        <f t="shared" ref="Q57" si="233">ROUNDDOWN($C57*R57,1)</f>
        <v>783</v>
      </c>
      <c r="R57" s="80">
        <f>RCF!C$7</f>
        <v>16.45</v>
      </c>
      <c r="S57" s="82">
        <f t="shared" si="226"/>
        <v>1017.9</v>
      </c>
      <c r="T57" s="82">
        <f t="shared" si="226"/>
        <v>1174.5</v>
      </c>
      <c r="U57" s="81">
        <f t="shared" ref="U57" si="234">ROUNDDOWN($C57*V57,1)</f>
        <v>770.7</v>
      </c>
      <c r="V57" s="80">
        <f>RCF!C$9</f>
        <v>16.192</v>
      </c>
      <c r="W57" s="81">
        <f t="shared" ref="W57" si="235">ROUNDDOWN($C57*X57,1)</f>
        <v>770.7</v>
      </c>
      <c r="X57" s="80">
        <f t="shared" ref="X57" si="236">V57</f>
        <v>16.192</v>
      </c>
      <c r="Y57" s="82">
        <f t="shared" si="227"/>
        <v>847.7</v>
      </c>
      <c r="Z57" s="82">
        <f t="shared" si="227"/>
        <v>1055.8</v>
      </c>
      <c r="AA57" s="82">
        <f t="shared" si="227"/>
        <v>1248.5</v>
      </c>
      <c r="AB57" s="82">
        <f t="shared" si="227"/>
        <v>1132.9000000000001</v>
      </c>
      <c r="AC57" s="82">
        <f t="shared" si="227"/>
        <v>1672.4</v>
      </c>
      <c r="AD57" s="82">
        <f t="shared" si="227"/>
        <v>2312.1</v>
      </c>
      <c r="AE57" s="81">
        <f t="shared" ref="AE57" si="237">ROUNDDOWN($C57*AF57,1)</f>
        <v>738.7</v>
      </c>
      <c r="AF57" s="80">
        <f>RCF!C$13</f>
        <v>15.52</v>
      </c>
      <c r="AG57" s="77">
        <f t="shared" si="228"/>
        <v>1218.9000000000001</v>
      </c>
      <c r="AH57" s="77">
        <f t="shared" si="228"/>
        <v>1551.3</v>
      </c>
      <c r="AI57" s="77">
        <f t="shared" si="228"/>
        <v>2216.1</v>
      </c>
      <c r="AJ57" s="81">
        <f t="shared" ref="AJ57" si="238">ROUNDDOWN($C57*AK57,1)</f>
        <v>781.2</v>
      </c>
      <c r="AK57" s="80">
        <f>RCF!C$25</f>
        <v>16.413333333333334</v>
      </c>
      <c r="AL57" s="81">
        <f t="shared" ref="AL57" si="239">ROUNDDOWN($C57*AM57,1)</f>
        <v>1051.3</v>
      </c>
      <c r="AM57" s="80">
        <f>RCF!C$59</f>
        <v>22.086666666666666</v>
      </c>
      <c r="AN57" s="81">
        <f t="shared" ref="AN57" si="240">ROUNDDOWN($C57*AO57,1)</f>
        <v>839.3</v>
      </c>
      <c r="AO57" s="80">
        <f>RCF!C$33</f>
        <v>17.632999999999999</v>
      </c>
      <c r="AP57" s="77">
        <f t="shared" si="220"/>
        <v>1258.9000000000001</v>
      </c>
      <c r="AQ57" s="81">
        <f t="shared" ref="AQ57" si="241">ROUNDDOWN($C57*AR57,1)</f>
        <v>829.6</v>
      </c>
      <c r="AR57" s="80">
        <f>RCF!C$35</f>
        <v>17.43</v>
      </c>
      <c r="AS57" s="77">
        <f t="shared" si="222"/>
        <v>1078.4000000000001</v>
      </c>
      <c r="AT57" s="77">
        <f t="shared" si="222"/>
        <v>1202.9000000000001</v>
      </c>
      <c r="AU57" s="81">
        <f t="shared" ref="AU57" si="242">ROUNDDOWN($C57*AV57,1)</f>
        <v>813.4</v>
      </c>
      <c r="AV57" s="80">
        <f>RCF!C$37</f>
        <v>17.09</v>
      </c>
      <c r="AW57" s="81">
        <f t="shared" si="204"/>
        <v>815.1</v>
      </c>
      <c r="AX57" s="80">
        <f>RCF!C$64</f>
        <v>17.125999999999998</v>
      </c>
      <c r="AY57" s="81">
        <f t="shared" ref="AY57" si="243">ROUNDDOWN($C57*AZ57,1)</f>
        <v>830.6</v>
      </c>
      <c r="AZ57" s="80">
        <f>RCF!C$39</f>
        <v>17.45</v>
      </c>
      <c r="BA57" s="81">
        <f t="shared" ref="BA57" si="244">ROUNDDOWN($C57*BB57,1)</f>
        <v>793.9</v>
      </c>
      <c r="BB57" s="80">
        <f>RCF!C$41</f>
        <v>16.678999999999998</v>
      </c>
    </row>
    <row r="58" spans="1:54" s="97" customFormat="1" x14ac:dyDescent="0.2">
      <c r="A58" s="98" t="s">
        <v>67</v>
      </c>
      <c r="B58" s="99" t="s">
        <v>68</v>
      </c>
      <c r="C58" s="72">
        <v>280</v>
      </c>
      <c r="D58" s="72">
        <f t="shared" si="182"/>
        <v>17915.3</v>
      </c>
      <c r="E58" s="80">
        <f>RCF!C$43</f>
        <v>63.983120993999997</v>
      </c>
      <c r="F58" s="81">
        <f t="shared" si="208"/>
        <v>4678.2</v>
      </c>
      <c r="G58" s="80">
        <f>RCF!C$5</f>
        <v>16.707999999999998</v>
      </c>
      <c r="H58" s="81">
        <f t="shared" si="209"/>
        <v>4678.2</v>
      </c>
      <c r="I58" s="80">
        <f t="shared" si="210"/>
        <v>16.707999999999998</v>
      </c>
      <c r="J58" s="82">
        <f t="shared" si="211"/>
        <v>5146.1000000000004</v>
      </c>
      <c r="K58" s="82">
        <f t="shared" si="211"/>
        <v>6409.2</v>
      </c>
      <c r="L58" s="82">
        <f t="shared" si="211"/>
        <v>6877</v>
      </c>
      <c r="M58" s="82">
        <f t="shared" si="211"/>
        <v>7578.7</v>
      </c>
      <c r="N58" s="82">
        <f t="shared" si="211"/>
        <v>9356.5</v>
      </c>
      <c r="O58" s="82">
        <f t="shared" si="211"/>
        <v>10058.200000000001</v>
      </c>
      <c r="P58" s="82">
        <f t="shared" si="211"/>
        <v>14034.7</v>
      </c>
      <c r="Q58" s="81">
        <f t="shared" si="212"/>
        <v>4606</v>
      </c>
      <c r="R58" s="80">
        <f>RCF!C$7</f>
        <v>16.45</v>
      </c>
      <c r="S58" s="82">
        <f t="shared" si="226"/>
        <v>5987.8</v>
      </c>
      <c r="T58" s="82">
        <f t="shared" si="226"/>
        <v>6909</v>
      </c>
      <c r="U58" s="81">
        <f t="shared" si="213"/>
        <v>4533.7</v>
      </c>
      <c r="V58" s="80">
        <f>RCF!C$9</f>
        <v>16.192</v>
      </c>
      <c r="W58" s="81">
        <f t="shared" si="214"/>
        <v>4533.7</v>
      </c>
      <c r="X58" s="80">
        <f t="shared" si="215"/>
        <v>16.192</v>
      </c>
      <c r="Y58" s="82">
        <f t="shared" si="227"/>
        <v>4987</v>
      </c>
      <c r="Z58" s="82">
        <f t="shared" si="227"/>
        <v>6211.1</v>
      </c>
      <c r="AA58" s="82">
        <f t="shared" si="227"/>
        <v>7344.5</v>
      </c>
      <c r="AB58" s="82">
        <f t="shared" si="227"/>
        <v>6664.5</v>
      </c>
      <c r="AC58" s="82">
        <f t="shared" si="227"/>
        <v>9838.1</v>
      </c>
      <c r="AD58" s="82">
        <f t="shared" si="227"/>
        <v>13601.1</v>
      </c>
      <c r="AE58" s="81">
        <f t="shared" si="216"/>
        <v>4345.6000000000004</v>
      </c>
      <c r="AF58" s="80">
        <f>RCF!C$13</f>
        <v>15.52</v>
      </c>
      <c r="AG58" s="77">
        <f t="shared" si="228"/>
        <v>7170.2</v>
      </c>
      <c r="AH58" s="77">
        <f t="shared" si="228"/>
        <v>9125.7999999999993</v>
      </c>
      <c r="AI58" s="77">
        <f t="shared" si="228"/>
        <v>13036.8</v>
      </c>
      <c r="AJ58" s="81">
        <f t="shared" si="217"/>
        <v>4595.7</v>
      </c>
      <c r="AK58" s="80">
        <f>RCF!C$25</f>
        <v>16.413333333333334</v>
      </c>
      <c r="AL58" s="81">
        <f t="shared" si="218"/>
        <v>6184.2</v>
      </c>
      <c r="AM58" s="80">
        <f>RCF!C$59</f>
        <v>22.086666666666666</v>
      </c>
      <c r="AN58" s="81">
        <f t="shared" si="219"/>
        <v>4937.2</v>
      </c>
      <c r="AO58" s="80">
        <f>RCF!C$33</f>
        <v>17.632999999999999</v>
      </c>
      <c r="AP58" s="77">
        <f t="shared" si="220"/>
        <v>7405.8</v>
      </c>
      <c r="AQ58" s="81">
        <f t="shared" si="221"/>
        <v>4880.3999999999996</v>
      </c>
      <c r="AR58" s="80">
        <f>RCF!C$35</f>
        <v>17.43</v>
      </c>
      <c r="AS58" s="77">
        <f t="shared" si="222"/>
        <v>6344.5</v>
      </c>
      <c r="AT58" s="77">
        <f t="shared" si="222"/>
        <v>7076.5</v>
      </c>
      <c r="AU58" s="81">
        <f t="shared" si="223"/>
        <v>4785.2</v>
      </c>
      <c r="AV58" s="80">
        <f>RCF!C$37</f>
        <v>17.09</v>
      </c>
      <c r="AW58" s="81">
        <f t="shared" si="204"/>
        <v>4795.2</v>
      </c>
      <c r="AX58" s="80">
        <f>RCF!C$64</f>
        <v>17.125999999999998</v>
      </c>
      <c r="AY58" s="81">
        <f t="shared" si="224"/>
        <v>4886</v>
      </c>
      <c r="AZ58" s="80">
        <f>RCF!C$39</f>
        <v>17.45</v>
      </c>
      <c r="BA58" s="81">
        <f t="shared" si="225"/>
        <v>4670.1000000000004</v>
      </c>
      <c r="BB58" s="80">
        <f>RCF!C$41</f>
        <v>16.678999999999998</v>
      </c>
    </row>
    <row r="59" spans="1:54" s="97" customFormat="1" x14ac:dyDescent="0.2">
      <c r="A59" s="98" t="s">
        <v>69</v>
      </c>
      <c r="B59" s="99" t="s">
        <v>70</v>
      </c>
      <c r="C59" s="72">
        <v>280</v>
      </c>
      <c r="D59" s="72">
        <f t="shared" si="182"/>
        <v>17915.3</v>
      </c>
      <c r="E59" s="80">
        <f>RCF!C$43</f>
        <v>63.983120993999997</v>
      </c>
      <c r="F59" s="81">
        <f t="shared" si="208"/>
        <v>4678.2</v>
      </c>
      <c r="G59" s="80">
        <f>RCF!C$5</f>
        <v>16.707999999999998</v>
      </c>
      <c r="H59" s="81">
        <f t="shared" si="209"/>
        <v>4678.2</v>
      </c>
      <c r="I59" s="80">
        <f t="shared" si="210"/>
        <v>16.707999999999998</v>
      </c>
      <c r="J59" s="82">
        <f t="shared" si="211"/>
        <v>5146.1000000000004</v>
      </c>
      <c r="K59" s="82">
        <f t="shared" si="211"/>
        <v>6409.2</v>
      </c>
      <c r="L59" s="82">
        <f t="shared" si="211"/>
        <v>6877</v>
      </c>
      <c r="M59" s="82">
        <f t="shared" si="211"/>
        <v>7578.7</v>
      </c>
      <c r="N59" s="82">
        <f t="shared" si="211"/>
        <v>9356.5</v>
      </c>
      <c r="O59" s="82">
        <f t="shared" si="211"/>
        <v>10058.200000000001</v>
      </c>
      <c r="P59" s="82">
        <f t="shared" si="211"/>
        <v>14034.7</v>
      </c>
      <c r="Q59" s="81">
        <f t="shared" si="212"/>
        <v>4606</v>
      </c>
      <c r="R59" s="80">
        <f>RCF!C$7</f>
        <v>16.45</v>
      </c>
      <c r="S59" s="82">
        <f t="shared" si="226"/>
        <v>5987.8</v>
      </c>
      <c r="T59" s="82">
        <f t="shared" si="226"/>
        <v>6909</v>
      </c>
      <c r="U59" s="81">
        <f t="shared" si="213"/>
        <v>4533.7</v>
      </c>
      <c r="V59" s="80">
        <f>RCF!C$9</f>
        <v>16.192</v>
      </c>
      <c r="W59" s="81">
        <f t="shared" si="214"/>
        <v>4533.7</v>
      </c>
      <c r="X59" s="80">
        <f t="shared" si="215"/>
        <v>16.192</v>
      </c>
      <c r="Y59" s="82">
        <f t="shared" si="227"/>
        <v>4987</v>
      </c>
      <c r="Z59" s="82">
        <f t="shared" si="227"/>
        <v>6211.1</v>
      </c>
      <c r="AA59" s="82">
        <f t="shared" si="227"/>
        <v>7344.5</v>
      </c>
      <c r="AB59" s="82">
        <f t="shared" si="227"/>
        <v>6664.5</v>
      </c>
      <c r="AC59" s="82">
        <f t="shared" si="227"/>
        <v>9838.1</v>
      </c>
      <c r="AD59" s="82">
        <f t="shared" si="227"/>
        <v>13601.1</v>
      </c>
      <c r="AE59" s="81">
        <f t="shared" si="216"/>
        <v>4345.6000000000004</v>
      </c>
      <c r="AF59" s="80">
        <f>RCF!C$13</f>
        <v>15.52</v>
      </c>
      <c r="AG59" s="77">
        <f t="shared" si="228"/>
        <v>7170.2</v>
      </c>
      <c r="AH59" s="77">
        <f t="shared" si="228"/>
        <v>9125.7999999999993</v>
      </c>
      <c r="AI59" s="77">
        <f t="shared" si="228"/>
        <v>13036.8</v>
      </c>
      <c r="AJ59" s="81">
        <f t="shared" si="217"/>
        <v>4595.7</v>
      </c>
      <c r="AK59" s="80">
        <f>RCF!C$25</f>
        <v>16.413333333333334</v>
      </c>
      <c r="AL59" s="81">
        <f t="shared" si="218"/>
        <v>6184.2</v>
      </c>
      <c r="AM59" s="80">
        <f>RCF!C$59</f>
        <v>22.086666666666666</v>
      </c>
      <c r="AN59" s="81">
        <f t="shared" si="219"/>
        <v>4937.2</v>
      </c>
      <c r="AO59" s="80">
        <f>RCF!C$33</f>
        <v>17.632999999999999</v>
      </c>
      <c r="AP59" s="77">
        <f t="shared" si="220"/>
        <v>7405.8</v>
      </c>
      <c r="AQ59" s="81">
        <f t="shared" si="221"/>
        <v>4880.3999999999996</v>
      </c>
      <c r="AR59" s="80">
        <f>RCF!C$35</f>
        <v>17.43</v>
      </c>
      <c r="AS59" s="77">
        <f t="shared" si="222"/>
        <v>6344.5</v>
      </c>
      <c r="AT59" s="77">
        <f t="shared" si="222"/>
        <v>7076.5</v>
      </c>
      <c r="AU59" s="81">
        <f t="shared" si="223"/>
        <v>4785.2</v>
      </c>
      <c r="AV59" s="80">
        <f>RCF!C$37</f>
        <v>17.09</v>
      </c>
      <c r="AW59" s="81">
        <f t="shared" si="204"/>
        <v>4795.2</v>
      </c>
      <c r="AX59" s="80">
        <f>RCF!C$64</f>
        <v>17.125999999999998</v>
      </c>
      <c r="AY59" s="81">
        <f t="shared" si="224"/>
        <v>4886</v>
      </c>
      <c r="AZ59" s="80">
        <f>RCF!C$39</f>
        <v>17.45</v>
      </c>
      <c r="BA59" s="81">
        <f t="shared" si="225"/>
        <v>4670.1000000000004</v>
      </c>
      <c r="BB59" s="80">
        <f>RCF!C$41</f>
        <v>16.678999999999998</v>
      </c>
    </row>
    <row r="60" spans="1:54" s="97" customFormat="1" ht="25.5" x14ac:dyDescent="0.2">
      <c r="A60" s="98" t="s">
        <v>71</v>
      </c>
      <c r="B60" s="79" t="s">
        <v>72</v>
      </c>
      <c r="C60" s="72">
        <v>419</v>
      </c>
      <c r="D60" s="72">
        <f t="shared" si="182"/>
        <v>26808.9</v>
      </c>
      <c r="E60" s="80">
        <f>RCF!C$43</f>
        <v>63.983120993999997</v>
      </c>
      <c r="F60" s="81">
        <f t="shared" si="208"/>
        <v>7000.6</v>
      </c>
      <c r="G60" s="80">
        <f>RCF!C$5</f>
        <v>16.707999999999998</v>
      </c>
      <c r="H60" s="81">
        <f t="shared" si="209"/>
        <v>7000.6</v>
      </c>
      <c r="I60" s="80">
        <f t="shared" si="210"/>
        <v>16.707999999999998</v>
      </c>
      <c r="J60" s="82">
        <f t="shared" si="211"/>
        <v>7700.7</v>
      </c>
      <c r="K60" s="82">
        <f t="shared" si="211"/>
        <v>9590.9</v>
      </c>
      <c r="L60" s="82">
        <f t="shared" si="211"/>
        <v>10291</v>
      </c>
      <c r="M60" s="82">
        <f t="shared" si="211"/>
        <v>11341.1</v>
      </c>
      <c r="N60" s="82">
        <f t="shared" si="211"/>
        <v>14001.3</v>
      </c>
      <c r="O60" s="82">
        <f t="shared" si="211"/>
        <v>15051.4</v>
      </c>
      <c r="P60" s="82">
        <f t="shared" si="211"/>
        <v>21002</v>
      </c>
      <c r="Q60" s="81">
        <f t="shared" si="212"/>
        <v>6892.5</v>
      </c>
      <c r="R60" s="80">
        <f>RCF!C$7</f>
        <v>16.45</v>
      </c>
      <c r="S60" s="82">
        <f t="shared" si="226"/>
        <v>8960.2000000000007</v>
      </c>
      <c r="T60" s="82">
        <f t="shared" si="226"/>
        <v>10338.700000000001</v>
      </c>
      <c r="U60" s="81">
        <f t="shared" si="213"/>
        <v>6784.4</v>
      </c>
      <c r="V60" s="80">
        <f>RCF!C$9</f>
        <v>16.192</v>
      </c>
      <c r="W60" s="81">
        <f t="shared" si="214"/>
        <v>6784.4</v>
      </c>
      <c r="X60" s="80">
        <f t="shared" si="215"/>
        <v>16.192</v>
      </c>
      <c r="Y60" s="82">
        <f t="shared" si="227"/>
        <v>7462.8</v>
      </c>
      <c r="Z60" s="82">
        <f t="shared" si="227"/>
        <v>9294.6</v>
      </c>
      <c r="AA60" s="82">
        <f t="shared" si="227"/>
        <v>10990.7</v>
      </c>
      <c r="AB60" s="82">
        <f t="shared" si="227"/>
        <v>9973</v>
      </c>
      <c r="AC60" s="82">
        <f t="shared" si="227"/>
        <v>14722.1</v>
      </c>
      <c r="AD60" s="82">
        <f t="shared" si="227"/>
        <v>20353.2</v>
      </c>
      <c r="AE60" s="81">
        <f t="shared" si="216"/>
        <v>6502.8</v>
      </c>
      <c r="AF60" s="80">
        <f>RCF!C$13</f>
        <v>15.52</v>
      </c>
      <c r="AG60" s="77">
        <f t="shared" si="228"/>
        <v>10729.6</v>
      </c>
      <c r="AH60" s="77">
        <f t="shared" si="228"/>
        <v>13655.9</v>
      </c>
      <c r="AI60" s="77">
        <f t="shared" si="228"/>
        <v>19508.400000000001</v>
      </c>
      <c r="AJ60" s="81">
        <f t="shared" si="217"/>
        <v>6877.1</v>
      </c>
      <c r="AK60" s="80">
        <f>RCF!C$25</f>
        <v>16.413333333333334</v>
      </c>
      <c r="AL60" s="81">
        <f t="shared" si="218"/>
        <v>9254.2999999999993</v>
      </c>
      <c r="AM60" s="80">
        <f>RCF!C$59</f>
        <v>22.086666666666666</v>
      </c>
      <c r="AN60" s="81">
        <f t="shared" si="219"/>
        <v>7388.2</v>
      </c>
      <c r="AO60" s="80">
        <f>RCF!C$33</f>
        <v>17.632999999999999</v>
      </c>
      <c r="AP60" s="77">
        <f t="shared" si="220"/>
        <v>11082.3</v>
      </c>
      <c r="AQ60" s="81">
        <f t="shared" si="221"/>
        <v>7303.1</v>
      </c>
      <c r="AR60" s="80">
        <f>RCF!C$35</f>
        <v>17.43</v>
      </c>
      <c r="AS60" s="77">
        <f t="shared" si="222"/>
        <v>9494</v>
      </c>
      <c r="AT60" s="77">
        <f t="shared" si="222"/>
        <v>10589.4</v>
      </c>
      <c r="AU60" s="81">
        <f t="shared" si="223"/>
        <v>7160.7</v>
      </c>
      <c r="AV60" s="80">
        <f>RCF!C$37</f>
        <v>17.09</v>
      </c>
      <c r="AW60" s="81">
        <f t="shared" si="204"/>
        <v>7175.7</v>
      </c>
      <c r="AX60" s="80">
        <f>RCF!C$64</f>
        <v>17.125999999999998</v>
      </c>
      <c r="AY60" s="81">
        <f t="shared" si="224"/>
        <v>7311.5</v>
      </c>
      <c r="AZ60" s="80">
        <f>RCF!C$39</f>
        <v>17.45</v>
      </c>
      <c r="BA60" s="81">
        <f t="shared" si="225"/>
        <v>6988.5</v>
      </c>
      <c r="BB60" s="80">
        <f>RCF!C$41</f>
        <v>16.678999999999998</v>
      </c>
    </row>
    <row r="61" spans="1:54" s="97" customFormat="1" ht="25.5" x14ac:dyDescent="0.2">
      <c r="A61" s="98" t="s">
        <v>73</v>
      </c>
      <c r="B61" s="79" t="s">
        <v>74</v>
      </c>
      <c r="C61" s="72">
        <v>150</v>
      </c>
      <c r="D61" s="72">
        <f t="shared" si="182"/>
        <v>9597.5</v>
      </c>
      <c r="E61" s="80">
        <f>RCF!C$43</f>
        <v>63.983120993999997</v>
      </c>
      <c r="F61" s="81">
        <f t="shared" si="208"/>
        <v>2506.1999999999998</v>
      </c>
      <c r="G61" s="80">
        <f>RCF!C$5</f>
        <v>16.707999999999998</v>
      </c>
      <c r="H61" s="81">
        <f t="shared" si="209"/>
        <v>2506.1999999999998</v>
      </c>
      <c r="I61" s="80">
        <f t="shared" si="210"/>
        <v>16.707999999999998</v>
      </c>
      <c r="J61" s="82">
        <f t="shared" si="211"/>
        <v>2756.8</v>
      </c>
      <c r="K61" s="82">
        <f t="shared" si="211"/>
        <v>3433.5</v>
      </c>
      <c r="L61" s="82">
        <f t="shared" si="211"/>
        <v>3684.1</v>
      </c>
      <c r="M61" s="82">
        <f t="shared" si="211"/>
        <v>4060</v>
      </c>
      <c r="N61" s="82">
        <f t="shared" si="211"/>
        <v>5012.3999999999996</v>
      </c>
      <c r="O61" s="82">
        <f t="shared" si="211"/>
        <v>5388.3</v>
      </c>
      <c r="P61" s="82">
        <f t="shared" si="211"/>
        <v>7518.6</v>
      </c>
      <c r="Q61" s="81">
        <f t="shared" si="212"/>
        <v>2467.5</v>
      </c>
      <c r="R61" s="80">
        <f>RCF!C$7</f>
        <v>16.45</v>
      </c>
      <c r="S61" s="82">
        <f t="shared" si="226"/>
        <v>3207.7</v>
      </c>
      <c r="T61" s="82">
        <f t="shared" si="226"/>
        <v>3701.2</v>
      </c>
      <c r="U61" s="81">
        <f t="shared" si="213"/>
        <v>2428.8000000000002</v>
      </c>
      <c r="V61" s="80">
        <f>RCF!C$9</f>
        <v>16.192</v>
      </c>
      <c r="W61" s="81">
        <f t="shared" si="214"/>
        <v>2428.8000000000002</v>
      </c>
      <c r="X61" s="80">
        <f t="shared" si="215"/>
        <v>16.192</v>
      </c>
      <c r="Y61" s="82">
        <f t="shared" si="227"/>
        <v>2671.6</v>
      </c>
      <c r="Z61" s="82">
        <f t="shared" si="227"/>
        <v>3327.4</v>
      </c>
      <c r="AA61" s="82">
        <f t="shared" si="227"/>
        <v>3934.6</v>
      </c>
      <c r="AB61" s="82">
        <f t="shared" si="227"/>
        <v>3570.3</v>
      </c>
      <c r="AC61" s="82">
        <f t="shared" si="227"/>
        <v>5270.4</v>
      </c>
      <c r="AD61" s="82">
        <f t="shared" si="227"/>
        <v>7286.4</v>
      </c>
      <c r="AE61" s="81">
        <f t="shared" si="216"/>
        <v>2328</v>
      </c>
      <c r="AF61" s="80">
        <f>RCF!C$13</f>
        <v>15.52</v>
      </c>
      <c r="AG61" s="77">
        <f t="shared" si="228"/>
        <v>3841.2</v>
      </c>
      <c r="AH61" s="77">
        <f t="shared" si="228"/>
        <v>4888.8</v>
      </c>
      <c r="AI61" s="77">
        <f t="shared" si="228"/>
        <v>6984</v>
      </c>
      <c r="AJ61" s="81">
        <f t="shared" si="217"/>
        <v>2462</v>
      </c>
      <c r="AK61" s="80">
        <f>RCF!C$25</f>
        <v>16.413333333333334</v>
      </c>
      <c r="AL61" s="81">
        <f t="shared" si="218"/>
        <v>3313</v>
      </c>
      <c r="AM61" s="80">
        <f>RCF!C$59</f>
        <v>22.086666666666666</v>
      </c>
      <c r="AN61" s="81">
        <f t="shared" si="219"/>
        <v>2644.9</v>
      </c>
      <c r="AO61" s="80">
        <f>RCF!C$33</f>
        <v>17.632999999999999</v>
      </c>
      <c r="AP61" s="77">
        <f t="shared" si="220"/>
        <v>3967.3</v>
      </c>
      <c r="AQ61" s="81">
        <f t="shared" si="221"/>
        <v>2614.5</v>
      </c>
      <c r="AR61" s="80">
        <f>RCF!C$35</f>
        <v>17.43</v>
      </c>
      <c r="AS61" s="77">
        <f t="shared" si="222"/>
        <v>3398.8</v>
      </c>
      <c r="AT61" s="77">
        <f t="shared" si="222"/>
        <v>3791</v>
      </c>
      <c r="AU61" s="81">
        <f t="shared" si="223"/>
        <v>2563.5</v>
      </c>
      <c r="AV61" s="80">
        <f>RCF!C$37</f>
        <v>17.09</v>
      </c>
      <c r="AW61" s="81">
        <f t="shared" si="204"/>
        <v>2568.9</v>
      </c>
      <c r="AX61" s="80">
        <f>RCF!C$64</f>
        <v>17.125999999999998</v>
      </c>
      <c r="AY61" s="81">
        <f t="shared" si="224"/>
        <v>2617.5</v>
      </c>
      <c r="AZ61" s="80">
        <f>RCF!C$39</f>
        <v>17.45</v>
      </c>
      <c r="BA61" s="81">
        <f t="shared" si="225"/>
        <v>2501.8000000000002</v>
      </c>
      <c r="BB61" s="80">
        <f>RCF!C$41</f>
        <v>16.678999999999998</v>
      </c>
    </row>
    <row r="62" spans="1:54" s="97" customFormat="1" x14ac:dyDescent="0.2">
      <c r="A62" s="98" t="s">
        <v>75</v>
      </c>
      <c r="B62" s="79" t="s">
        <v>76</v>
      </c>
      <c r="C62" s="72">
        <v>289</v>
      </c>
      <c r="D62" s="72">
        <f t="shared" si="182"/>
        <v>18491.099999999999</v>
      </c>
      <c r="E62" s="80">
        <f>RCF!C$43</f>
        <v>63.983120993999997</v>
      </c>
      <c r="F62" s="81">
        <f t="shared" si="208"/>
        <v>4828.6000000000004</v>
      </c>
      <c r="G62" s="80">
        <f>RCF!C$5</f>
        <v>16.707999999999998</v>
      </c>
      <c r="H62" s="81">
        <f t="shared" si="209"/>
        <v>4828.6000000000004</v>
      </c>
      <c r="I62" s="80">
        <f t="shared" si="210"/>
        <v>16.707999999999998</v>
      </c>
      <c r="J62" s="82">
        <f t="shared" si="211"/>
        <v>5311.5</v>
      </c>
      <c r="K62" s="82">
        <f t="shared" si="211"/>
        <v>6615.2</v>
      </c>
      <c r="L62" s="82">
        <f t="shared" si="211"/>
        <v>7098.1</v>
      </c>
      <c r="M62" s="82">
        <f t="shared" si="211"/>
        <v>7822.4</v>
      </c>
      <c r="N62" s="82">
        <f t="shared" si="211"/>
        <v>9657.2000000000007</v>
      </c>
      <c r="O62" s="82">
        <f t="shared" si="211"/>
        <v>10381.5</v>
      </c>
      <c r="P62" s="82">
        <f t="shared" si="211"/>
        <v>14485.8</v>
      </c>
      <c r="Q62" s="81">
        <f t="shared" si="212"/>
        <v>4754</v>
      </c>
      <c r="R62" s="80">
        <f>RCF!C$7</f>
        <v>16.45</v>
      </c>
      <c r="S62" s="82">
        <f t="shared" si="226"/>
        <v>6180.2</v>
      </c>
      <c r="T62" s="82">
        <f t="shared" si="226"/>
        <v>7131</v>
      </c>
      <c r="U62" s="81">
        <f t="shared" si="213"/>
        <v>4679.3999999999996</v>
      </c>
      <c r="V62" s="80">
        <f>RCF!C$9</f>
        <v>16.192</v>
      </c>
      <c r="W62" s="81">
        <f t="shared" si="214"/>
        <v>4679.3999999999996</v>
      </c>
      <c r="X62" s="80">
        <f t="shared" si="215"/>
        <v>16.192</v>
      </c>
      <c r="Y62" s="82">
        <f t="shared" si="227"/>
        <v>5147.3</v>
      </c>
      <c r="Z62" s="82">
        <f t="shared" si="227"/>
        <v>6410.7</v>
      </c>
      <c r="AA62" s="82">
        <f t="shared" si="227"/>
        <v>7580.6</v>
      </c>
      <c r="AB62" s="82">
        <f t="shared" si="227"/>
        <v>6878.7</v>
      </c>
      <c r="AC62" s="82">
        <f t="shared" si="227"/>
        <v>10154.200000000001</v>
      </c>
      <c r="AD62" s="82">
        <f t="shared" si="227"/>
        <v>14038.2</v>
      </c>
      <c r="AE62" s="81">
        <f t="shared" si="216"/>
        <v>4485.2</v>
      </c>
      <c r="AF62" s="80">
        <f>RCF!C$13</f>
        <v>15.52</v>
      </c>
      <c r="AG62" s="77">
        <f t="shared" si="228"/>
        <v>7400.6</v>
      </c>
      <c r="AH62" s="77">
        <f t="shared" si="228"/>
        <v>9418.9</v>
      </c>
      <c r="AI62" s="77">
        <f t="shared" si="228"/>
        <v>13455.6</v>
      </c>
      <c r="AJ62" s="81">
        <f t="shared" si="217"/>
        <v>4743.3999999999996</v>
      </c>
      <c r="AK62" s="80">
        <f>RCF!C$25</f>
        <v>16.413333333333334</v>
      </c>
      <c r="AL62" s="81">
        <f t="shared" si="218"/>
        <v>6383</v>
      </c>
      <c r="AM62" s="80">
        <f>RCF!C$59</f>
        <v>22.086666666666666</v>
      </c>
      <c r="AN62" s="81">
        <f t="shared" si="219"/>
        <v>5095.8999999999996</v>
      </c>
      <c r="AO62" s="80">
        <f>RCF!C$33</f>
        <v>17.632999999999999</v>
      </c>
      <c r="AP62" s="77">
        <f t="shared" si="220"/>
        <v>7643.8</v>
      </c>
      <c r="AQ62" s="81">
        <f t="shared" si="221"/>
        <v>5037.2</v>
      </c>
      <c r="AR62" s="80">
        <f>RCF!C$35</f>
        <v>17.43</v>
      </c>
      <c r="AS62" s="77">
        <f t="shared" si="222"/>
        <v>6548.3</v>
      </c>
      <c r="AT62" s="77">
        <f t="shared" si="222"/>
        <v>7303.9</v>
      </c>
      <c r="AU62" s="81">
        <f t="shared" si="223"/>
        <v>4939</v>
      </c>
      <c r="AV62" s="80">
        <f>RCF!C$37</f>
        <v>17.09</v>
      </c>
      <c r="AW62" s="81">
        <f t="shared" si="204"/>
        <v>4949.3999999999996</v>
      </c>
      <c r="AX62" s="80">
        <f>RCF!C$64</f>
        <v>17.125999999999998</v>
      </c>
      <c r="AY62" s="81">
        <f t="shared" si="224"/>
        <v>5043</v>
      </c>
      <c r="AZ62" s="80">
        <f>RCF!C$39</f>
        <v>17.45</v>
      </c>
      <c r="BA62" s="81">
        <f t="shared" si="225"/>
        <v>4820.2</v>
      </c>
      <c r="BB62" s="80">
        <f>RCF!C$41</f>
        <v>16.678999999999998</v>
      </c>
    </row>
    <row r="63" spans="1:54" s="97" customFormat="1" x14ac:dyDescent="0.2">
      <c r="A63" s="96" t="s">
        <v>77</v>
      </c>
      <c r="B63" s="79" t="s">
        <v>78</v>
      </c>
      <c r="C63" s="72">
        <v>127</v>
      </c>
      <c r="D63" s="72">
        <f t="shared" si="182"/>
        <v>8125.9</v>
      </c>
      <c r="E63" s="80">
        <f>RCF!C$43</f>
        <v>63.983120993999997</v>
      </c>
      <c r="F63" s="81">
        <f t="shared" si="208"/>
        <v>2121.9</v>
      </c>
      <c r="G63" s="80">
        <f>RCF!C$5</f>
        <v>16.707999999999998</v>
      </c>
      <c r="H63" s="81">
        <f t="shared" si="209"/>
        <v>2121.9</v>
      </c>
      <c r="I63" s="80">
        <f t="shared" si="210"/>
        <v>16.707999999999998</v>
      </c>
      <c r="J63" s="82">
        <f t="shared" si="211"/>
        <v>2334.1</v>
      </c>
      <c r="K63" s="82">
        <f t="shared" si="211"/>
        <v>2907</v>
      </c>
      <c r="L63" s="82">
        <f t="shared" si="211"/>
        <v>3119.2</v>
      </c>
      <c r="M63" s="82">
        <f t="shared" si="211"/>
        <v>3437.5</v>
      </c>
      <c r="N63" s="82">
        <f t="shared" si="211"/>
        <v>4243.8</v>
      </c>
      <c r="O63" s="82">
        <f t="shared" si="211"/>
        <v>4562.1000000000004</v>
      </c>
      <c r="P63" s="82">
        <f t="shared" si="211"/>
        <v>6365.7</v>
      </c>
      <c r="Q63" s="81">
        <f t="shared" si="212"/>
        <v>2089.1</v>
      </c>
      <c r="R63" s="80">
        <f>RCF!C$7</f>
        <v>16.45</v>
      </c>
      <c r="S63" s="82">
        <f t="shared" si="226"/>
        <v>2715.8</v>
      </c>
      <c r="T63" s="82">
        <f t="shared" si="226"/>
        <v>3133.6</v>
      </c>
      <c r="U63" s="81">
        <f t="shared" si="213"/>
        <v>2056.3000000000002</v>
      </c>
      <c r="V63" s="80">
        <f>RCF!C$9</f>
        <v>16.192</v>
      </c>
      <c r="W63" s="81">
        <f t="shared" si="214"/>
        <v>2056.3000000000002</v>
      </c>
      <c r="X63" s="80">
        <f t="shared" si="215"/>
        <v>16.192</v>
      </c>
      <c r="Y63" s="82">
        <f t="shared" si="227"/>
        <v>2261.9</v>
      </c>
      <c r="Z63" s="82">
        <f t="shared" si="227"/>
        <v>2817.1</v>
      </c>
      <c r="AA63" s="82">
        <f t="shared" si="227"/>
        <v>3331.2</v>
      </c>
      <c r="AB63" s="82">
        <f t="shared" si="227"/>
        <v>3022.7</v>
      </c>
      <c r="AC63" s="82">
        <f t="shared" si="227"/>
        <v>4462.1000000000004</v>
      </c>
      <c r="AD63" s="82">
        <f t="shared" si="227"/>
        <v>6168.9</v>
      </c>
      <c r="AE63" s="81">
        <f t="shared" si="216"/>
        <v>1971</v>
      </c>
      <c r="AF63" s="80">
        <f>RCF!C$13</f>
        <v>15.52</v>
      </c>
      <c r="AG63" s="77">
        <f t="shared" si="228"/>
        <v>3252.2</v>
      </c>
      <c r="AH63" s="77">
        <f t="shared" si="228"/>
        <v>4139.1000000000004</v>
      </c>
      <c r="AI63" s="77">
        <f t="shared" si="228"/>
        <v>5913</v>
      </c>
      <c r="AJ63" s="81">
        <f t="shared" si="217"/>
        <v>2084.4</v>
      </c>
      <c r="AK63" s="80">
        <f>RCF!C$25</f>
        <v>16.413333333333334</v>
      </c>
      <c r="AL63" s="81">
        <f t="shared" si="218"/>
        <v>2805</v>
      </c>
      <c r="AM63" s="80">
        <f>RCF!C$59</f>
        <v>22.086666666666666</v>
      </c>
      <c r="AN63" s="81">
        <f t="shared" si="219"/>
        <v>2239.3000000000002</v>
      </c>
      <c r="AO63" s="80">
        <f>RCF!C$33</f>
        <v>17.632999999999999</v>
      </c>
      <c r="AP63" s="77">
        <f t="shared" si="220"/>
        <v>3358.9</v>
      </c>
      <c r="AQ63" s="81">
        <f t="shared" si="221"/>
        <v>2213.6</v>
      </c>
      <c r="AR63" s="80">
        <f>RCF!C$35</f>
        <v>17.43</v>
      </c>
      <c r="AS63" s="77">
        <f t="shared" si="222"/>
        <v>2877.6</v>
      </c>
      <c r="AT63" s="77">
        <f t="shared" si="222"/>
        <v>3209.7</v>
      </c>
      <c r="AU63" s="81">
        <f t="shared" si="223"/>
        <v>2170.4</v>
      </c>
      <c r="AV63" s="80">
        <f>RCF!C$37</f>
        <v>17.09</v>
      </c>
      <c r="AW63" s="81">
        <f t="shared" si="204"/>
        <v>2175</v>
      </c>
      <c r="AX63" s="80">
        <f>RCF!C$64</f>
        <v>17.125999999999998</v>
      </c>
      <c r="AY63" s="81">
        <f t="shared" si="224"/>
        <v>2216.1</v>
      </c>
      <c r="AZ63" s="80">
        <f>RCF!C$39</f>
        <v>17.45</v>
      </c>
      <c r="BA63" s="81">
        <f t="shared" si="225"/>
        <v>2118.1999999999998</v>
      </c>
      <c r="BB63" s="80">
        <f>RCF!C$41</f>
        <v>16.678999999999998</v>
      </c>
    </row>
    <row r="64" spans="1:54" s="97" customFormat="1" ht="25.5" x14ac:dyDescent="0.2">
      <c r="A64" s="98" t="s">
        <v>79</v>
      </c>
      <c r="B64" s="79" t="s">
        <v>80</v>
      </c>
      <c r="C64" s="72">
        <v>96.9</v>
      </c>
      <c r="D64" s="72">
        <f t="shared" si="182"/>
        <v>6200</v>
      </c>
      <c r="E64" s="80">
        <f>RCF!C$43</f>
        <v>63.983120993999997</v>
      </c>
      <c r="F64" s="81">
        <f t="shared" si="208"/>
        <v>1619</v>
      </c>
      <c r="G64" s="80">
        <f>RCF!C$5</f>
        <v>16.707999999999998</v>
      </c>
      <c r="H64" s="81">
        <f t="shared" si="209"/>
        <v>1619</v>
      </c>
      <c r="I64" s="80">
        <f t="shared" si="210"/>
        <v>16.707999999999998</v>
      </c>
      <c r="J64" s="82">
        <f t="shared" si="211"/>
        <v>1780.9</v>
      </c>
      <c r="K64" s="82">
        <f t="shared" si="211"/>
        <v>2218</v>
      </c>
      <c r="L64" s="82">
        <f t="shared" si="211"/>
        <v>2379.9</v>
      </c>
      <c r="M64" s="82">
        <f t="shared" si="211"/>
        <v>2622.8</v>
      </c>
      <c r="N64" s="82">
        <f t="shared" si="211"/>
        <v>3238</v>
      </c>
      <c r="O64" s="82">
        <f t="shared" si="211"/>
        <v>3480.9</v>
      </c>
      <c r="P64" s="82">
        <f t="shared" si="211"/>
        <v>4857</v>
      </c>
      <c r="Q64" s="81">
        <f t="shared" si="212"/>
        <v>1594</v>
      </c>
      <c r="R64" s="80">
        <f>RCF!C$7</f>
        <v>16.45</v>
      </c>
      <c r="S64" s="82">
        <f t="shared" si="226"/>
        <v>2072.1999999999998</v>
      </c>
      <c r="T64" s="82">
        <f t="shared" si="226"/>
        <v>2391</v>
      </c>
      <c r="U64" s="81">
        <f t="shared" si="213"/>
        <v>1569</v>
      </c>
      <c r="V64" s="80">
        <f>RCF!C$9</f>
        <v>16.192</v>
      </c>
      <c r="W64" s="81">
        <f t="shared" si="214"/>
        <v>1569</v>
      </c>
      <c r="X64" s="80">
        <f t="shared" si="215"/>
        <v>16.192</v>
      </c>
      <c r="Y64" s="82">
        <f t="shared" si="227"/>
        <v>1725.9</v>
      </c>
      <c r="Z64" s="82">
        <f t="shared" si="227"/>
        <v>2149.5</v>
      </c>
      <c r="AA64" s="82">
        <f t="shared" si="227"/>
        <v>2541.6999999999998</v>
      </c>
      <c r="AB64" s="82">
        <f t="shared" si="227"/>
        <v>2306.4</v>
      </c>
      <c r="AC64" s="82">
        <f t="shared" si="227"/>
        <v>3404.7</v>
      </c>
      <c r="AD64" s="82">
        <f t="shared" si="227"/>
        <v>4707</v>
      </c>
      <c r="AE64" s="81">
        <f t="shared" si="216"/>
        <v>1503.8</v>
      </c>
      <c r="AF64" s="80">
        <f>RCF!C$13</f>
        <v>15.52</v>
      </c>
      <c r="AG64" s="77">
        <f t="shared" si="228"/>
        <v>2481.3000000000002</v>
      </c>
      <c r="AH64" s="77">
        <f t="shared" si="228"/>
        <v>3158</v>
      </c>
      <c r="AI64" s="77">
        <f t="shared" si="228"/>
        <v>4511.3999999999996</v>
      </c>
      <c r="AJ64" s="81">
        <f t="shared" si="217"/>
        <v>1590.4</v>
      </c>
      <c r="AK64" s="80">
        <f>RCF!C$25</f>
        <v>16.413333333333334</v>
      </c>
      <c r="AL64" s="81">
        <f t="shared" si="218"/>
        <v>2140.1</v>
      </c>
      <c r="AM64" s="80">
        <f>RCF!C$59</f>
        <v>22.086666666666666</v>
      </c>
      <c r="AN64" s="81">
        <f t="shared" si="219"/>
        <v>1708.6</v>
      </c>
      <c r="AO64" s="80">
        <f>RCF!C$33</f>
        <v>17.632999999999999</v>
      </c>
      <c r="AP64" s="77">
        <f t="shared" si="220"/>
        <v>2562.9</v>
      </c>
      <c r="AQ64" s="81">
        <f t="shared" si="221"/>
        <v>1688.9</v>
      </c>
      <c r="AR64" s="80">
        <f>RCF!C$35</f>
        <v>17.43</v>
      </c>
      <c r="AS64" s="77">
        <f t="shared" si="222"/>
        <v>2195.5</v>
      </c>
      <c r="AT64" s="77">
        <f t="shared" si="222"/>
        <v>2448.9</v>
      </c>
      <c r="AU64" s="81">
        <f t="shared" si="223"/>
        <v>1656</v>
      </c>
      <c r="AV64" s="80">
        <f>RCF!C$37</f>
        <v>17.09</v>
      </c>
      <c r="AW64" s="81">
        <f t="shared" si="204"/>
        <v>1659.5</v>
      </c>
      <c r="AX64" s="80">
        <f>RCF!C$64</f>
        <v>17.125999999999998</v>
      </c>
      <c r="AY64" s="81">
        <f t="shared" si="224"/>
        <v>1690.9</v>
      </c>
      <c r="AZ64" s="80">
        <f>RCF!C$39</f>
        <v>17.45</v>
      </c>
      <c r="BA64" s="81">
        <f t="shared" si="225"/>
        <v>1616.1</v>
      </c>
      <c r="BB64" s="80">
        <f>RCF!C$41</f>
        <v>16.678999999999998</v>
      </c>
    </row>
    <row r="65" spans="1:54" s="97" customFormat="1" x14ac:dyDescent="0.2">
      <c r="A65" s="98" t="s">
        <v>81</v>
      </c>
      <c r="B65" s="99" t="s">
        <v>82</v>
      </c>
      <c r="C65" s="72">
        <v>53</v>
      </c>
      <c r="D65" s="72">
        <f t="shared" si="182"/>
        <v>3391.1</v>
      </c>
      <c r="E65" s="80">
        <f>RCF!C$43</f>
        <v>63.983120993999997</v>
      </c>
      <c r="F65" s="81">
        <f t="shared" si="208"/>
        <v>885.5</v>
      </c>
      <c r="G65" s="80">
        <f>RCF!C$5</f>
        <v>16.707999999999998</v>
      </c>
      <c r="H65" s="81">
        <f t="shared" si="209"/>
        <v>885.5</v>
      </c>
      <c r="I65" s="80">
        <f t="shared" si="210"/>
        <v>16.707999999999998</v>
      </c>
      <c r="J65" s="82">
        <f t="shared" si="211"/>
        <v>974.1</v>
      </c>
      <c r="K65" s="82">
        <f t="shared" si="211"/>
        <v>1213.2</v>
      </c>
      <c r="L65" s="82">
        <f t="shared" si="211"/>
        <v>1301.7</v>
      </c>
      <c r="M65" s="82">
        <f t="shared" si="211"/>
        <v>1434.5</v>
      </c>
      <c r="N65" s="82">
        <f t="shared" si="211"/>
        <v>1771</v>
      </c>
      <c r="O65" s="82">
        <f t="shared" si="211"/>
        <v>1903.9</v>
      </c>
      <c r="P65" s="82">
        <f t="shared" si="211"/>
        <v>2656.6</v>
      </c>
      <c r="Q65" s="81">
        <f t="shared" si="212"/>
        <v>871.8</v>
      </c>
      <c r="R65" s="80">
        <f>RCF!C$7</f>
        <v>16.45</v>
      </c>
      <c r="S65" s="82">
        <f t="shared" si="226"/>
        <v>1133.3</v>
      </c>
      <c r="T65" s="82">
        <f t="shared" si="226"/>
        <v>1307.7</v>
      </c>
      <c r="U65" s="81">
        <f t="shared" si="213"/>
        <v>858.1</v>
      </c>
      <c r="V65" s="80">
        <f>RCF!C$9</f>
        <v>16.192</v>
      </c>
      <c r="W65" s="81">
        <f t="shared" si="214"/>
        <v>858.1</v>
      </c>
      <c r="X65" s="80">
        <f t="shared" si="215"/>
        <v>16.192</v>
      </c>
      <c r="Y65" s="82">
        <f t="shared" si="227"/>
        <v>943.9</v>
      </c>
      <c r="Z65" s="82">
        <f t="shared" si="227"/>
        <v>1175.5</v>
      </c>
      <c r="AA65" s="82">
        <f t="shared" si="227"/>
        <v>1390.1</v>
      </c>
      <c r="AB65" s="82">
        <f t="shared" si="227"/>
        <v>1261.4000000000001</v>
      </c>
      <c r="AC65" s="82">
        <f t="shared" si="227"/>
        <v>1862</v>
      </c>
      <c r="AD65" s="82">
        <f t="shared" si="227"/>
        <v>2574.3000000000002</v>
      </c>
      <c r="AE65" s="81">
        <f t="shared" si="216"/>
        <v>822.5</v>
      </c>
      <c r="AF65" s="80">
        <f>RCF!C$13</f>
        <v>15.52</v>
      </c>
      <c r="AG65" s="77">
        <f t="shared" si="228"/>
        <v>1357.1</v>
      </c>
      <c r="AH65" s="77">
        <f t="shared" si="228"/>
        <v>1727.3</v>
      </c>
      <c r="AI65" s="77">
        <f t="shared" si="228"/>
        <v>2467.5</v>
      </c>
      <c r="AJ65" s="81">
        <f t="shared" si="217"/>
        <v>869.9</v>
      </c>
      <c r="AK65" s="80">
        <f>RCF!C$25</f>
        <v>16.413333333333334</v>
      </c>
      <c r="AL65" s="81">
        <f t="shared" si="218"/>
        <v>1170.5</v>
      </c>
      <c r="AM65" s="80">
        <f>RCF!C$59</f>
        <v>22.086666666666666</v>
      </c>
      <c r="AN65" s="81">
        <f t="shared" si="219"/>
        <v>934.5</v>
      </c>
      <c r="AO65" s="80">
        <f>RCF!C$33</f>
        <v>17.632999999999999</v>
      </c>
      <c r="AP65" s="77">
        <f t="shared" si="220"/>
        <v>1401.7</v>
      </c>
      <c r="AQ65" s="81">
        <f t="shared" si="221"/>
        <v>923.7</v>
      </c>
      <c r="AR65" s="80">
        <f>RCF!C$35</f>
        <v>17.43</v>
      </c>
      <c r="AS65" s="77">
        <f t="shared" si="222"/>
        <v>1200.8</v>
      </c>
      <c r="AT65" s="77">
        <f t="shared" si="222"/>
        <v>1339.3</v>
      </c>
      <c r="AU65" s="81">
        <f t="shared" si="223"/>
        <v>905.7</v>
      </c>
      <c r="AV65" s="80">
        <f>RCF!C$37</f>
        <v>17.09</v>
      </c>
      <c r="AW65" s="81">
        <f t="shared" si="204"/>
        <v>907.6</v>
      </c>
      <c r="AX65" s="80">
        <f>RCF!C$64</f>
        <v>17.125999999999998</v>
      </c>
      <c r="AY65" s="81">
        <f t="shared" si="224"/>
        <v>924.8</v>
      </c>
      <c r="AZ65" s="80">
        <f>RCF!C$39</f>
        <v>17.45</v>
      </c>
      <c r="BA65" s="81">
        <f t="shared" si="225"/>
        <v>883.9</v>
      </c>
      <c r="BB65" s="80">
        <f>RCF!C$41</f>
        <v>16.678999999999998</v>
      </c>
    </row>
    <row r="66" spans="1:54" s="97" customFormat="1" x14ac:dyDescent="0.2">
      <c r="A66" s="98" t="s">
        <v>83</v>
      </c>
      <c r="B66" s="79" t="s">
        <v>84</v>
      </c>
      <c r="C66" s="72">
        <v>150</v>
      </c>
      <c r="D66" s="72">
        <f t="shared" si="182"/>
        <v>9597.5</v>
      </c>
      <c r="E66" s="80">
        <f>RCF!C$43</f>
        <v>63.983120993999997</v>
      </c>
      <c r="F66" s="81">
        <f t="shared" si="208"/>
        <v>2506.1999999999998</v>
      </c>
      <c r="G66" s="80">
        <f>RCF!C$5</f>
        <v>16.707999999999998</v>
      </c>
      <c r="H66" s="81">
        <f t="shared" si="209"/>
        <v>2506.1999999999998</v>
      </c>
      <c r="I66" s="80">
        <f t="shared" si="210"/>
        <v>16.707999999999998</v>
      </c>
      <c r="J66" s="82">
        <f t="shared" si="211"/>
        <v>2756.8</v>
      </c>
      <c r="K66" s="82">
        <f t="shared" si="211"/>
        <v>3433.5</v>
      </c>
      <c r="L66" s="82">
        <f t="shared" si="211"/>
        <v>3684.1</v>
      </c>
      <c r="M66" s="82">
        <f t="shared" si="211"/>
        <v>4060</v>
      </c>
      <c r="N66" s="82">
        <f t="shared" si="211"/>
        <v>5012.3999999999996</v>
      </c>
      <c r="O66" s="82">
        <f t="shared" si="211"/>
        <v>5388.3</v>
      </c>
      <c r="P66" s="82">
        <f t="shared" si="211"/>
        <v>7518.6</v>
      </c>
      <c r="Q66" s="81">
        <f t="shared" si="212"/>
        <v>2467.5</v>
      </c>
      <c r="R66" s="80">
        <f>RCF!C$7</f>
        <v>16.45</v>
      </c>
      <c r="S66" s="82">
        <f t="shared" si="226"/>
        <v>3207.7</v>
      </c>
      <c r="T66" s="82">
        <f t="shared" si="226"/>
        <v>3701.2</v>
      </c>
      <c r="U66" s="81">
        <f t="shared" si="213"/>
        <v>2428.8000000000002</v>
      </c>
      <c r="V66" s="80">
        <f>RCF!C$9</f>
        <v>16.192</v>
      </c>
      <c r="W66" s="81">
        <f t="shared" si="214"/>
        <v>2428.8000000000002</v>
      </c>
      <c r="X66" s="80">
        <f t="shared" si="215"/>
        <v>16.192</v>
      </c>
      <c r="Y66" s="82">
        <f t="shared" si="227"/>
        <v>2671.6</v>
      </c>
      <c r="Z66" s="82">
        <f t="shared" si="227"/>
        <v>3327.4</v>
      </c>
      <c r="AA66" s="82">
        <f t="shared" si="227"/>
        <v>3934.6</v>
      </c>
      <c r="AB66" s="82">
        <f t="shared" si="227"/>
        <v>3570.3</v>
      </c>
      <c r="AC66" s="82">
        <f t="shared" si="227"/>
        <v>5270.4</v>
      </c>
      <c r="AD66" s="82">
        <f t="shared" si="227"/>
        <v>7286.4</v>
      </c>
      <c r="AE66" s="81">
        <f t="shared" si="216"/>
        <v>2328</v>
      </c>
      <c r="AF66" s="80">
        <f>RCF!C$13</f>
        <v>15.52</v>
      </c>
      <c r="AG66" s="77">
        <f t="shared" si="228"/>
        <v>3841.2</v>
      </c>
      <c r="AH66" s="77">
        <f t="shared" si="228"/>
        <v>4888.8</v>
      </c>
      <c r="AI66" s="77">
        <f t="shared" si="228"/>
        <v>6984</v>
      </c>
      <c r="AJ66" s="81">
        <f t="shared" si="217"/>
        <v>2462</v>
      </c>
      <c r="AK66" s="80">
        <f>RCF!C$25</f>
        <v>16.413333333333334</v>
      </c>
      <c r="AL66" s="81">
        <f t="shared" si="218"/>
        <v>3313</v>
      </c>
      <c r="AM66" s="80">
        <f>RCF!C$59</f>
        <v>22.086666666666666</v>
      </c>
      <c r="AN66" s="81">
        <f t="shared" si="219"/>
        <v>2644.9</v>
      </c>
      <c r="AO66" s="80">
        <f>RCF!C$33</f>
        <v>17.632999999999999</v>
      </c>
      <c r="AP66" s="77">
        <f t="shared" si="220"/>
        <v>3967.3</v>
      </c>
      <c r="AQ66" s="81">
        <f t="shared" si="221"/>
        <v>2614.5</v>
      </c>
      <c r="AR66" s="80">
        <f>RCF!C$35</f>
        <v>17.43</v>
      </c>
      <c r="AS66" s="77">
        <f t="shared" si="222"/>
        <v>3398.8</v>
      </c>
      <c r="AT66" s="77">
        <f t="shared" si="222"/>
        <v>3791</v>
      </c>
      <c r="AU66" s="81">
        <f t="shared" si="223"/>
        <v>2563.5</v>
      </c>
      <c r="AV66" s="80">
        <f>RCF!C$37</f>
        <v>17.09</v>
      </c>
      <c r="AW66" s="81">
        <f t="shared" si="204"/>
        <v>2568.9</v>
      </c>
      <c r="AX66" s="80">
        <f>RCF!C$64</f>
        <v>17.125999999999998</v>
      </c>
      <c r="AY66" s="81">
        <f t="shared" si="224"/>
        <v>2617.5</v>
      </c>
      <c r="AZ66" s="80">
        <f>RCF!C$39</f>
        <v>17.45</v>
      </c>
      <c r="BA66" s="81">
        <f t="shared" si="225"/>
        <v>2501.8000000000002</v>
      </c>
      <c r="BB66" s="80">
        <f>RCF!C$41</f>
        <v>16.678999999999998</v>
      </c>
    </row>
    <row r="67" spans="1:54" s="97" customFormat="1" ht="25.5" x14ac:dyDescent="0.2">
      <c r="A67" s="98" t="s">
        <v>85</v>
      </c>
      <c r="B67" s="99" t="s">
        <v>86</v>
      </c>
      <c r="C67" s="72">
        <v>116.3</v>
      </c>
      <c r="D67" s="72">
        <f t="shared" ref="D67:D86" si="245">ROUND(E67*C67,1)</f>
        <v>7441.2</v>
      </c>
      <c r="E67" s="80">
        <f>RCF!C$43</f>
        <v>63.983120993999997</v>
      </c>
      <c r="F67" s="81">
        <f t="shared" si="208"/>
        <v>1943.1</v>
      </c>
      <c r="G67" s="80">
        <f>RCF!C$5</f>
        <v>16.707999999999998</v>
      </c>
      <c r="H67" s="81">
        <f t="shared" si="209"/>
        <v>1943.1</v>
      </c>
      <c r="I67" s="80">
        <f t="shared" si="210"/>
        <v>16.707999999999998</v>
      </c>
      <c r="J67" s="82">
        <f t="shared" si="211"/>
        <v>2137.5</v>
      </c>
      <c r="K67" s="82">
        <f t="shared" si="211"/>
        <v>2662.1</v>
      </c>
      <c r="L67" s="82">
        <f t="shared" si="211"/>
        <v>2856.4</v>
      </c>
      <c r="M67" s="82">
        <f t="shared" si="211"/>
        <v>3147.9</v>
      </c>
      <c r="N67" s="82">
        <f t="shared" si="211"/>
        <v>3886.3</v>
      </c>
      <c r="O67" s="82">
        <f t="shared" si="211"/>
        <v>4177.8</v>
      </c>
      <c r="P67" s="82">
        <f t="shared" si="211"/>
        <v>5829.4</v>
      </c>
      <c r="Q67" s="81">
        <f t="shared" si="212"/>
        <v>1913.1</v>
      </c>
      <c r="R67" s="80">
        <f>RCF!C$7</f>
        <v>16.45</v>
      </c>
      <c r="S67" s="82">
        <f t="shared" si="226"/>
        <v>2487</v>
      </c>
      <c r="T67" s="82">
        <f t="shared" si="226"/>
        <v>2869.6</v>
      </c>
      <c r="U67" s="81">
        <f t="shared" si="213"/>
        <v>1883.1</v>
      </c>
      <c r="V67" s="80">
        <f>RCF!C$9</f>
        <v>16.192</v>
      </c>
      <c r="W67" s="81">
        <f t="shared" si="214"/>
        <v>1883.1</v>
      </c>
      <c r="X67" s="80">
        <f t="shared" si="215"/>
        <v>16.192</v>
      </c>
      <c r="Y67" s="82">
        <f t="shared" si="227"/>
        <v>2071.4</v>
      </c>
      <c r="Z67" s="82">
        <f t="shared" si="227"/>
        <v>2579.8000000000002</v>
      </c>
      <c r="AA67" s="82">
        <f t="shared" si="227"/>
        <v>3050.6</v>
      </c>
      <c r="AB67" s="82">
        <f t="shared" si="227"/>
        <v>2768.1</v>
      </c>
      <c r="AC67" s="82">
        <f t="shared" si="227"/>
        <v>4086.3</v>
      </c>
      <c r="AD67" s="82">
        <f t="shared" si="227"/>
        <v>5649.3</v>
      </c>
      <c r="AE67" s="81">
        <f t="shared" si="216"/>
        <v>1804.9</v>
      </c>
      <c r="AF67" s="80">
        <f>RCF!C$13</f>
        <v>15.52</v>
      </c>
      <c r="AG67" s="77">
        <f t="shared" si="228"/>
        <v>2978.1</v>
      </c>
      <c r="AH67" s="77">
        <f t="shared" si="228"/>
        <v>3790.3</v>
      </c>
      <c r="AI67" s="77">
        <f t="shared" si="228"/>
        <v>5414.7</v>
      </c>
      <c r="AJ67" s="81">
        <f t="shared" si="217"/>
        <v>1908.8</v>
      </c>
      <c r="AK67" s="80">
        <f>RCF!C$25</f>
        <v>16.413333333333334</v>
      </c>
      <c r="AL67" s="81">
        <f t="shared" si="218"/>
        <v>2568.6</v>
      </c>
      <c r="AM67" s="80">
        <f>RCF!C$59</f>
        <v>22.086666666666666</v>
      </c>
      <c r="AN67" s="81">
        <f t="shared" si="219"/>
        <v>2050.6999999999998</v>
      </c>
      <c r="AO67" s="80">
        <f>RCF!C$33</f>
        <v>17.632999999999999</v>
      </c>
      <c r="AP67" s="77">
        <f t="shared" si="220"/>
        <v>3076</v>
      </c>
      <c r="AQ67" s="81">
        <f t="shared" si="221"/>
        <v>2027.1</v>
      </c>
      <c r="AR67" s="80">
        <f>RCF!C$35</f>
        <v>17.43</v>
      </c>
      <c r="AS67" s="77">
        <f t="shared" si="222"/>
        <v>2635.2</v>
      </c>
      <c r="AT67" s="77">
        <f t="shared" si="222"/>
        <v>2939.2</v>
      </c>
      <c r="AU67" s="81">
        <f t="shared" si="223"/>
        <v>1987.5</v>
      </c>
      <c r="AV67" s="80">
        <f>RCF!C$37</f>
        <v>17.09</v>
      </c>
      <c r="AW67" s="81">
        <f t="shared" si="204"/>
        <v>1991.7</v>
      </c>
      <c r="AX67" s="80">
        <f>RCF!C$64</f>
        <v>17.125999999999998</v>
      </c>
      <c r="AY67" s="81">
        <f t="shared" si="224"/>
        <v>2029.4</v>
      </c>
      <c r="AZ67" s="80">
        <f>RCF!C$39</f>
        <v>17.45</v>
      </c>
      <c r="BA67" s="81">
        <f t="shared" si="225"/>
        <v>1939.7</v>
      </c>
      <c r="BB67" s="80">
        <f>RCF!C$41</f>
        <v>16.678999999999998</v>
      </c>
    </row>
    <row r="68" spans="1:54" s="97" customFormat="1" x14ac:dyDescent="0.2">
      <c r="A68" s="98" t="s">
        <v>87</v>
      </c>
      <c r="B68" s="99" t="s">
        <v>88</v>
      </c>
      <c r="C68" s="72">
        <v>47</v>
      </c>
      <c r="D68" s="72">
        <f t="shared" si="245"/>
        <v>3007.2</v>
      </c>
      <c r="E68" s="80">
        <f>RCF!C$43</f>
        <v>63.983120993999997</v>
      </c>
      <c r="F68" s="81">
        <f t="shared" si="208"/>
        <v>785.2</v>
      </c>
      <c r="G68" s="80">
        <f>RCF!C$5</f>
        <v>16.707999999999998</v>
      </c>
      <c r="H68" s="81">
        <f t="shared" si="209"/>
        <v>785.2</v>
      </c>
      <c r="I68" s="80">
        <f t="shared" si="210"/>
        <v>16.707999999999998</v>
      </c>
      <c r="J68" s="82">
        <f t="shared" si="211"/>
        <v>863.8</v>
      </c>
      <c r="K68" s="82">
        <f t="shared" si="211"/>
        <v>1075.8</v>
      </c>
      <c r="L68" s="82">
        <f t="shared" si="211"/>
        <v>1154.4000000000001</v>
      </c>
      <c r="M68" s="82">
        <f t="shared" si="211"/>
        <v>1272.0999999999999</v>
      </c>
      <c r="N68" s="82">
        <f t="shared" si="211"/>
        <v>1570.6</v>
      </c>
      <c r="O68" s="82">
        <f t="shared" si="211"/>
        <v>1688.3</v>
      </c>
      <c r="P68" s="82">
        <f t="shared" si="211"/>
        <v>2355.8000000000002</v>
      </c>
      <c r="Q68" s="81">
        <f t="shared" si="212"/>
        <v>773.1</v>
      </c>
      <c r="R68" s="80">
        <f>RCF!C$7</f>
        <v>16.45</v>
      </c>
      <c r="S68" s="82">
        <f t="shared" si="226"/>
        <v>1005</v>
      </c>
      <c r="T68" s="82">
        <f t="shared" si="226"/>
        <v>1159.5999999999999</v>
      </c>
      <c r="U68" s="81">
        <f t="shared" si="213"/>
        <v>761</v>
      </c>
      <c r="V68" s="80">
        <f>RCF!C$9</f>
        <v>16.192</v>
      </c>
      <c r="W68" s="81">
        <f t="shared" si="214"/>
        <v>761</v>
      </c>
      <c r="X68" s="80">
        <f t="shared" si="215"/>
        <v>16.192</v>
      </c>
      <c r="Y68" s="82">
        <f t="shared" si="227"/>
        <v>837.1</v>
      </c>
      <c r="Z68" s="82">
        <f t="shared" si="227"/>
        <v>1042.5</v>
      </c>
      <c r="AA68" s="82">
        <f t="shared" si="227"/>
        <v>1232.8</v>
      </c>
      <c r="AB68" s="82">
        <f t="shared" si="227"/>
        <v>1118.5999999999999</v>
      </c>
      <c r="AC68" s="82">
        <f t="shared" si="227"/>
        <v>1651.3</v>
      </c>
      <c r="AD68" s="82">
        <f t="shared" si="227"/>
        <v>2283</v>
      </c>
      <c r="AE68" s="81">
        <f t="shared" si="216"/>
        <v>729.4</v>
      </c>
      <c r="AF68" s="80">
        <f>RCF!C$13</f>
        <v>15.52</v>
      </c>
      <c r="AG68" s="77">
        <f t="shared" si="228"/>
        <v>1203.5</v>
      </c>
      <c r="AH68" s="77">
        <f t="shared" si="228"/>
        <v>1531.7</v>
      </c>
      <c r="AI68" s="77">
        <f t="shared" si="228"/>
        <v>2188.1999999999998</v>
      </c>
      <c r="AJ68" s="81">
        <f t="shared" si="217"/>
        <v>771.4</v>
      </c>
      <c r="AK68" s="80">
        <f>RCF!C$25</f>
        <v>16.413333333333334</v>
      </c>
      <c r="AL68" s="81">
        <f t="shared" si="218"/>
        <v>1038</v>
      </c>
      <c r="AM68" s="80">
        <f>RCF!C$59</f>
        <v>22.086666666666666</v>
      </c>
      <c r="AN68" s="81">
        <f t="shared" si="219"/>
        <v>828.7</v>
      </c>
      <c r="AO68" s="80">
        <f>RCF!C$33</f>
        <v>17.632999999999999</v>
      </c>
      <c r="AP68" s="77">
        <f t="shared" si="220"/>
        <v>1243</v>
      </c>
      <c r="AQ68" s="81">
        <f t="shared" si="221"/>
        <v>819.2</v>
      </c>
      <c r="AR68" s="80">
        <f>RCF!C$35</f>
        <v>17.43</v>
      </c>
      <c r="AS68" s="77">
        <f t="shared" si="222"/>
        <v>1064.9000000000001</v>
      </c>
      <c r="AT68" s="77">
        <f t="shared" si="222"/>
        <v>1187.8</v>
      </c>
      <c r="AU68" s="81">
        <f t="shared" si="223"/>
        <v>803.2</v>
      </c>
      <c r="AV68" s="80">
        <f>RCF!C$37</f>
        <v>17.09</v>
      </c>
      <c r="AW68" s="81">
        <f t="shared" si="204"/>
        <v>804.9</v>
      </c>
      <c r="AX68" s="80">
        <f>RCF!C$64</f>
        <v>17.125999999999998</v>
      </c>
      <c r="AY68" s="81">
        <f t="shared" si="224"/>
        <v>820.1</v>
      </c>
      <c r="AZ68" s="80">
        <f>RCF!C$39</f>
        <v>17.45</v>
      </c>
      <c r="BA68" s="81">
        <f t="shared" si="225"/>
        <v>783.9</v>
      </c>
      <c r="BB68" s="80">
        <f>RCF!C$41</f>
        <v>16.678999999999998</v>
      </c>
    </row>
    <row r="69" spans="1:54" s="97" customFormat="1" x14ac:dyDescent="0.2">
      <c r="A69" s="98" t="s">
        <v>89</v>
      </c>
      <c r="B69" s="99" t="s">
        <v>90</v>
      </c>
      <c r="C69" s="72">
        <v>20.399999999999999</v>
      </c>
      <c r="D69" s="72">
        <f t="shared" si="245"/>
        <v>1305.3</v>
      </c>
      <c r="E69" s="80">
        <f>RCF!C$43</f>
        <v>63.983120993999997</v>
      </c>
      <c r="F69" s="81">
        <f t="shared" si="208"/>
        <v>340.8</v>
      </c>
      <c r="G69" s="80">
        <f>RCF!C$5</f>
        <v>16.707999999999998</v>
      </c>
      <c r="H69" s="81">
        <f t="shared" si="209"/>
        <v>340.8</v>
      </c>
      <c r="I69" s="80">
        <f t="shared" si="210"/>
        <v>16.707999999999998</v>
      </c>
      <c r="J69" s="82">
        <f t="shared" si="211"/>
        <v>374.9</v>
      </c>
      <c r="K69" s="82">
        <f t="shared" si="211"/>
        <v>467</v>
      </c>
      <c r="L69" s="82">
        <f t="shared" si="211"/>
        <v>501</v>
      </c>
      <c r="M69" s="82">
        <f t="shared" si="211"/>
        <v>552.20000000000005</v>
      </c>
      <c r="N69" s="82">
        <f t="shared" si="211"/>
        <v>681.7</v>
      </c>
      <c r="O69" s="82">
        <f t="shared" si="211"/>
        <v>732.8</v>
      </c>
      <c r="P69" s="82">
        <f t="shared" si="211"/>
        <v>1022.5</v>
      </c>
      <c r="Q69" s="81">
        <f t="shared" si="212"/>
        <v>335.5</v>
      </c>
      <c r="R69" s="80">
        <f>RCF!C$7</f>
        <v>16.45</v>
      </c>
      <c r="S69" s="82">
        <f t="shared" si="226"/>
        <v>436.1</v>
      </c>
      <c r="T69" s="82">
        <f t="shared" si="226"/>
        <v>503.2</v>
      </c>
      <c r="U69" s="81">
        <f t="shared" si="213"/>
        <v>330.3</v>
      </c>
      <c r="V69" s="80">
        <f>RCF!C$9</f>
        <v>16.192</v>
      </c>
      <c r="W69" s="81">
        <f t="shared" si="214"/>
        <v>330.3</v>
      </c>
      <c r="X69" s="80">
        <f t="shared" si="215"/>
        <v>16.192</v>
      </c>
      <c r="Y69" s="82">
        <f t="shared" si="227"/>
        <v>363.3</v>
      </c>
      <c r="Z69" s="82">
        <f t="shared" si="227"/>
        <v>452.5</v>
      </c>
      <c r="AA69" s="82">
        <f t="shared" si="227"/>
        <v>535</v>
      </c>
      <c r="AB69" s="82">
        <f t="shared" si="227"/>
        <v>485.5</v>
      </c>
      <c r="AC69" s="82">
        <f t="shared" si="227"/>
        <v>716.7</v>
      </c>
      <c r="AD69" s="82">
        <f t="shared" si="227"/>
        <v>990.9</v>
      </c>
      <c r="AE69" s="81">
        <f t="shared" si="216"/>
        <v>316.60000000000002</v>
      </c>
      <c r="AF69" s="80">
        <f>RCF!C$13</f>
        <v>15.52</v>
      </c>
      <c r="AG69" s="77">
        <f t="shared" si="228"/>
        <v>522.4</v>
      </c>
      <c r="AH69" s="77">
        <f t="shared" si="228"/>
        <v>664.9</v>
      </c>
      <c r="AI69" s="77">
        <f t="shared" si="228"/>
        <v>949.8</v>
      </c>
      <c r="AJ69" s="81">
        <f t="shared" si="217"/>
        <v>334.8</v>
      </c>
      <c r="AK69" s="80">
        <f>RCF!C$25</f>
        <v>16.413333333333334</v>
      </c>
      <c r="AL69" s="81">
        <f t="shared" si="218"/>
        <v>450.5</v>
      </c>
      <c r="AM69" s="80">
        <f>RCF!C$59</f>
        <v>22.086666666666666</v>
      </c>
      <c r="AN69" s="81">
        <f t="shared" si="219"/>
        <v>359.7</v>
      </c>
      <c r="AO69" s="80">
        <f>RCF!C$33</f>
        <v>17.632999999999999</v>
      </c>
      <c r="AP69" s="77">
        <f t="shared" si="220"/>
        <v>539.5</v>
      </c>
      <c r="AQ69" s="81">
        <f t="shared" si="221"/>
        <v>355.5</v>
      </c>
      <c r="AR69" s="80">
        <f>RCF!C$35</f>
        <v>17.43</v>
      </c>
      <c r="AS69" s="77">
        <f t="shared" si="222"/>
        <v>462.1</v>
      </c>
      <c r="AT69" s="77">
        <f t="shared" si="222"/>
        <v>515.4</v>
      </c>
      <c r="AU69" s="81">
        <f t="shared" si="223"/>
        <v>348.6</v>
      </c>
      <c r="AV69" s="80">
        <f>RCF!C$37</f>
        <v>17.09</v>
      </c>
      <c r="AW69" s="81">
        <f t="shared" si="204"/>
        <v>349.3</v>
      </c>
      <c r="AX69" s="80">
        <f>RCF!C$64</f>
        <v>17.125999999999998</v>
      </c>
      <c r="AY69" s="81">
        <f t="shared" si="224"/>
        <v>355.9</v>
      </c>
      <c r="AZ69" s="80">
        <f>RCF!C$39</f>
        <v>17.45</v>
      </c>
      <c r="BA69" s="81">
        <f t="shared" si="225"/>
        <v>340.2</v>
      </c>
      <c r="BB69" s="80">
        <f>RCF!C$41</f>
        <v>16.678999999999998</v>
      </c>
    </row>
    <row r="70" spans="1:54" s="97" customFormat="1" x14ac:dyDescent="0.2">
      <c r="A70" s="98" t="s">
        <v>91</v>
      </c>
      <c r="B70" s="99" t="s">
        <v>92</v>
      </c>
      <c r="C70" s="72">
        <v>111.5</v>
      </c>
      <c r="D70" s="72">
        <f t="shared" si="245"/>
        <v>7134.1</v>
      </c>
      <c r="E70" s="80">
        <f>RCF!C$43</f>
        <v>63.983120993999997</v>
      </c>
      <c r="F70" s="81">
        <f t="shared" si="208"/>
        <v>1862.9</v>
      </c>
      <c r="G70" s="80">
        <f>RCF!C$5</f>
        <v>16.707999999999998</v>
      </c>
      <c r="H70" s="81">
        <f t="shared" si="209"/>
        <v>1862.9</v>
      </c>
      <c r="I70" s="80">
        <f t="shared" si="210"/>
        <v>16.707999999999998</v>
      </c>
      <c r="J70" s="82">
        <f t="shared" si="211"/>
        <v>2049.1999999999998</v>
      </c>
      <c r="K70" s="82">
        <f t="shared" si="211"/>
        <v>2552.1999999999998</v>
      </c>
      <c r="L70" s="82">
        <f t="shared" si="211"/>
        <v>2738.5</v>
      </c>
      <c r="M70" s="82">
        <f t="shared" si="211"/>
        <v>3018</v>
      </c>
      <c r="N70" s="82">
        <f t="shared" si="211"/>
        <v>3725.9</v>
      </c>
      <c r="O70" s="82">
        <f t="shared" si="211"/>
        <v>4005.3</v>
      </c>
      <c r="P70" s="82">
        <f t="shared" si="211"/>
        <v>5588.8</v>
      </c>
      <c r="Q70" s="81">
        <f t="shared" si="212"/>
        <v>1834.1</v>
      </c>
      <c r="R70" s="80">
        <f>RCF!C$7</f>
        <v>16.45</v>
      </c>
      <c r="S70" s="82">
        <f t="shared" si="226"/>
        <v>2384.3000000000002</v>
      </c>
      <c r="T70" s="82">
        <f t="shared" si="226"/>
        <v>2751.1</v>
      </c>
      <c r="U70" s="81">
        <f t="shared" si="213"/>
        <v>1805.4</v>
      </c>
      <c r="V70" s="80">
        <f>RCF!C$9</f>
        <v>16.192</v>
      </c>
      <c r="W70" s="81">
        <f t="shared" si="214"/>
        <v>1805.4</v>
      </c>
      <c r="X70" s="80">
        <f t="shared" si="215"/>
        <v>16.192</v>
      </c>
      <c r="Y70" s="82">
        <f t="shared" si="227"/>
        <v>1985.9</v>
      </c>
      <c r="Z70" s="82">
        <f t="shared" si="227"/>
        <v>2473.3000000000002</v>
      </c>
      <c r="AA70" s="82">
        <f t="shared" si="227"/>
        <v>2924.7</v>
      </c>
      <c r="AB70" s="82">
        <f t="shared" si="227"/>
        <v>2653.9</v>
      </c>
      <c r="AC70" s="82">
        <f t="shared" si="227"/>
        <v>3917.7</v>
      </c>
      <c r="AD70" s="82">
        <f t="shared" si="227"/>
        <v>5416.2</v>
      </c>
      <c r="AE70" s="81">
        <f t="shared" si="216"/>
        <v>1730.4</v>
      </c>
      <c r="AF70" s="80">
        <f>RCF!C$13</f>
        <v>15.52</v>
      </c>
      <c r="AG70" s="77">
        <f t="shared" si="228"/>
        <v>2855.2</v>
      </c>
      <c r="AH70" s="77">
        <f t="shared" si="228"/>
        <v>3633.8</v>
      </c>
      <c r="AI70" s="77">
        <f t="shared" si="228"/>
        <v>5191.2</v>
      </c>
      <c r="AJ70" s="81">
        <f t="shared" si="217"/>
        <v>1830</v>
      </c>
      <c r="AK70" s="80">
        <f>RCF!C$25</f>
        <v>16.413333333333334</v>
      </c>
      <c r="AL70" s="81">
        <f t="shared" si="218"/>
        <v>2462.6</v>
      </c>
      <c r="AM70" s="80">
        <f>RCF!C$59</f>
        <v>22.086666666666666</v>
      </c>
      <c r="AN70" s="81">
        <f t="shared" si="219"/>
        <v>1966</v>
      </c>
      <c r="AO70" s="80">
        <f>RCF!C$33</f>
        <v>17.632999999999999</v>
      </c>
      <c r="AP70" s="77">
        <f t="shared" si="220"/>
        <v>2949</v>
      </c>
      <c r="AQ70" s="81">
        <f t="shared" si="221"/>
        <v>1943.4</v>
      </c>
      <c r="AR70" s="80">
        <f>RCF!C$35</f>
        <v>17.43</v>
      </c>
      <c r="AS70" s="77">
        <f t="shared" si="222"/>
        <v>2526.4</v>
      </c>
      <c r="AT70" s="77">
        <f t="shared" si="222"/>
        <v>2817.9</v>
      </c>
      <c r="AU70" s="81">
        <f t="shared" si="223"/>
        <v>1905.5</v>
      </c>
      <c r="AV70" s="80">
        <f>RCF!C$37</f>
        <v>17.09</v>
      </c>
      <c r="AW70" s="81">
        <f t="shared" si="204"/>
        <v>1909.5</v>
      </c>
      <c r="AX70" s="80">
        <f>RCF!C$64</f>
        <v>17.125999999999998</v>
      </c>
      <c r="AY70" s="81">
        <f t="shared" si="224"/>
        <v>1945.6</v>
      </c>
      <c r="AZ70" s="80">
        <f>RCF!C$39</f>
        <v>17.45</v>
      </c>
      <c r="BA70" s="81">
        <f t="shared" si="225"/>
        <v>1859.7</v>
      </c>
      <c r="BB70" s="80">
        <f>RCF!C$41</f>
        <v>16.678999999999998</v>
      </c>
    </row>
    <row r="71" spans="1:54" s="97" customFormat="1" x14ac:dyDescent="0.2">
      <c r="A71" s="98">
        <v>3191</v>
      </c>
      <c r="B71" s="99" t="s">
        <v>237</v>
      </c>
      <c r="C71" s="72">
        <v>150.19999999999999</v>
      </c>
      <c r="D71" s="72">
        <f t="shared" ref="D71:D72" si="246">ROUND(E71*C71,1)</f>
        <v>9610.2999999999993</v>
      </c>
      <c r="E71" s="80">
        <f>RCF!C$43</f>
        <v>63.983120993999997</v>
      </c>
      <c r="F71" s="81">
        <f>ROUNDDOWN($C71*G71,1)</f>
        <v>2509.5</v>
      </c>
      <c r="G71" s="80">
        <f>RCF!C$5</f>
        <v>16.707999999999998</v>
      </c>
      <c r="H71" s="81">
        <f>ROUNDDOWN($C71*I71,1)</f>
        <v>2509.5</v>
      </c>
      <c r="I71" s="80">
        <f t="shared" ref="I71:I72" si="247">G71</f>
        <v>16.707999999999998</v>
      </c>
      <c r="J71" s="82">
        <f t="shared" ref="J71:P72" si="248">ROUND($C71*$I71*J$6,1)</f>
        <v>2760.5</v>
      </c>
      <c r="K71" s="82">
        <f t="shared" si="248"/>
        <v>3438.1</v>
      </c>
      <c r="L71" s="82">
        <f t="shared" si="248"/>
        <v>3689</v>
      </c>
      <c r="M71" s="82">
        <f t="shared" si="248"/>
        <v>4065.5</v>
      </c>
      <c r="N71" s="82">
        <f t="shared" si="248"/>
        <v>5019.1000000000004</v>
      </c>
      <c r="O71" s="82">
        <f t="shared" si="248"/>
        <v>5395.5</v>
      </c>
      <c r="P71" s="82">
        <f t="shared" si="248"/>
        <v>7528.6</v>
      </c>
      <c r="Q71" s="81">
        <f>ROUNDDOWN($C71*R71,1)</f>
        <v>2470.6999999999998</v>
      </c>
      <c r="R71" s="80">
        <f>RCF!C$7</f>
        <v>16.45</v>
      </c>
      <c r="S71" s="82">
        <f>ROUNDDOWN($Q71*S$6,1)</f>
        <v>3211.9</v>
      </c>
      <c r="T71" s="82">
        <f>ROUNDDOWN($Q71*T$6,1)</f>
        <v>3706</v>
      </c>
      <c r="U71" s="81">
        <f>ROUNDDOWN($C71*V71,1)</f>
        <v>2432</v>
      </c>
      <c r="V71" s="80">
        <f>RCF!C$9</f>
        <v>16.192</v>
      </c>
      <c r="W71" s="81">
        <f>ROUNDDOWN($C71*X71,1)</f>
        <v>2432</v>
      </c>
      <c r="X71" s="80">
        <f t="shared" ref="X71:X72" si="249">V71</f>
        <v>16.192</v>
      </c>
      <c r="Y71" s="82">
        <f t="shared" ref="Y71:AD72" si="250">ROUNDDOWN($W71*Y$6,1)</f>
        <v>2675.2</v>
      </c>
      <c r="Z71" s="82">
        <f t="shared" si="250"/>
        <v>3331.8</v>
      </c>
      <c r="AA71" s="82">
        <f t="shared" si="250"/>
        <v>3939.8</v>
      </c>
      <c r="AB71" s="82">
        <f t="shared" si="250"/>
        <v>3575</v>
      </c>
      <c r="AC71" s="82">
        <f t="shared" si="250"/>
        <v>5277.4</v>
      </c>
      <c r="AD71" s="82">
        <f t="shared" si="250"/>
        <v>7296</v>
      </c>
      <c r="AE71" s="81">
        <f>ROUNDDOWN($C71*AF71,1)</f>
        <v>2331.1</v>
      </c>
      <c r="AF71" s="80">
        <f>RCF!C$13</f>
        <v>15.52</v>
      </c>
      <c r="AG71" s="77">
        <f t="shared" ref="AG71:AI72" si="251">ROUND($AE71*AG$6,1)</f>
        <v>3846.3</v>
      </c>
      <c r="AH71" s="77">
        <f t="shared" si="251"/>
        <v>4895.3</v>
      </c>
      <c r="AI71" s="77">
        <f t="shared" si="251"/>
        <v>6993.3</v>
      </c>
      <c r="AJ71" s="81">
        <f>ROUNDDOWN($C71*AK71,1)</f>
        <v>2465.1999999999998</v>
      </c>
      <c r="AK71" s="80">
        <f>RCF!C$25</f>
        <v>16.413333333333334</v>
      </c>
      <c r="AL71" s="81">
        <f>ROUNDDOWN($C71*AM71,1)</f>
        <v>3317.4</v>
      </c>
      <c r="AM71" s="80">
        <f>RCF!C$59</f>
        <v>22.086666666666666</v>
      </c>
      <c r="AN71" s="81">
        <f>ROUNDDOWN($C71*AO71,1)</f>
        <v>2648.4</v>
      </c>
      <c r="AO71" s="80">
        <f>RCF!C$33</f>
        <v>17.632999999999999</v>
      </c>
      <c r="AP71" s="77">
        <f>ROUNDDOWN($AN71*AP$6,1)</f>
        <v>3972.6</v>
      </c>
      <c r="AQ71" s="81">
        <f>ROUNDDOWN($C71*AR71,1)</f>
        <v>2617.9</v>
      </c>
      <c r="AR71" s="80">
        <f>RCF!C$35</f>
        <v>17.43</v>
      </c>
      <c r="AS71" s="77">
        <f>ROUNDDOWN($AQ71*AS$6,1)</f>
        <v>3403.2</v>
      </c>
      <c r="AT71" s="77">
        <f>ROUNDDOWN($AQ71*AT$6,1)</f>
        <v>3795.9</v>
      </c>
      <c r="AU71" s="81">
        <f>ROUNDDOWN($C71*AV71,1)</f>
        <v>2566.9</v>
      </c>
      <c r="AV71" s="80">
        <f>RCF!C$37</f>
        <v>17.09</v>
      </c>
      <c r="AW71" s="81">
        <f t="shared" si="204"/>
        <v>2572.3000000000002</v>
      </c>
      <c r="AX71" s="80">
        <f>RCF!C$64</f>
        <v>17.125999999999998</v>
      </c>
      <c r="AY71" s="81">
        <f>ROUNDDOWN($C71*AZ71,1)</f>
        <v>2620.9</v>
      </c>
      <c r="AZ71" s="80">
        <f>RCF!C$39</f>
        <v>17.45</v>
      </c>
      <c r="BA71" s="81">
        <f>ROUNDDOWN($C71*BB71,1)</f>
        <v>2505.1</v>
      </c>
      <c r="BB71" s="80">
        <f>RCF!C$41</f>
        <v>16.678999999999998</v>
      </c>
    </row>
    <row r="72" spans="1:54" s="97" customFormat="1" x14ac:dyDescent="0.2">
      <c r="A72" s="98">
        <v>3193</v>
      </c>
      <c r="B72" s="99" t="s">
        <v>238</v>
      </c>
      <c r="C72" s="72">
        <v>190</v>
      </c>
      <c r="D72" s="72">
        <f t="shared" si="246"/>
        <v>12156.8</v>
      </c>
      <c r="E72" s="80">
        <f>RCF!C$43</f>
        <v>63.983120993999997</v>
      </c>
      <c r="F72" s="81">
        <f>ROUNDDOWN($C72*G72,1)</f>
        <v>3174.5</v>
      </c>
      <c r="G72" s="80">
        <f>RCF!C$5</f>
        <v>16.707999999999998</v>
      </c>
      <c r="H72" s="81">
        <f>ROUNDDOWN($C72*I72,1)</f>
        <v>3174.5</v>
      </c>
      <c r="I72" s="80">
        <f t="shared" si="247"/>
        <v>16.707999999999998</v>
      </c>
      <c r="J72" s="82">
        <f t="shared" si="248"/>
        <v>3492</v>
      </c>
      <c r="K72" s="82">
        <f t="shared" si="248"/>
        <v>4349.1000000000004</v>
      </c>
      <c r="L72" s="82">
        <f t="shared" si="248"/>
        <v>4666.5</v>
      </c>
      <c r="M72" s="82">
        <f t="shared" si="248"/>
        <v>5142.7</v>
      </c>
      <c r="N72" s="82">
        <f t="shared" si="248"/>
        <v>6349</v>
      </c>
      <c r="O72" s="82">
        <f t="shared" si="248"/>
        <v>6825.2</v>
      </c>
      <c r="P72" s="82">
        <f t="shared" si="248"/>
        <v>9523.6</v>
      </c>
      <c r="Q72" s="81">
        <f>ROUNDDOWN($C72*R72,1)</f>
        <v>3125.5</v>
      </c>
      <c r="R72" s="80">
        <f>RCF!C$7</f>
        <v>16.45</v>
      </c>
      <c r="S72" s="82">
        <f>ROUNDDOWN($Q72*S$6,1)</f>
        <v>4063.1</v>
      </c>
      <c r="T72" s="82">
        <f>ROUNDDOWN($Q72*T$6,1)</f>
        <v>4688.2</v>
      </c>
      <c r="U72" s="81">
        <f>ROUNDDOWN($C72*V72,1)</f>
        <v>3076.4</v>
      </c>
      <c r="V72" s="80">
        <f>RCF!C$9</f>
        <v>16.192</v>
      </c>
      <c r="W72" s="81">
        <f>ROUNDDOWN($C72*X72,1)</f>
        <v>3076.4</v>
      </c>
      <c r="X72" s="80">
        <f t="shared" si="249"/>
        <v>16.192</v>
      </c>
      <c r="Y72" s="82">
        <f t="shared" si="250"/>
        <v>3384</v>
      </c>
      <c r="Z72" s="82">
        <f t="shared" si="250"/>
        <v>4214.6000000000004</v>
      </c>
      <c r="AA72" s="82">
        <f t="shared" si="250"/>
        <v>4983.7</v>
      </c>
      <c r="AB72" s="82">
        <f t="shared" si="250"/>
        <v>4522.3</v>
      </c>
      <c r="AC72" s="82">
        <f t="shared" si="250"/>
        <v>6675.7</v>
      </c>
      <c r="AD72" s="82">
        <f t="shared" si="250"/>
        <v>9229.2000000000007</v>
      </c>
      <c r="AE72" s="81">
        <f>ROUNDDOWN($C72*AF72,1)</f>
        <v>2948.8</v>
      </c>
      <c r="AF72" s="80">
        <f>RCF!C$13</f>
        <v>15.52</v>
      </c>
      <c r="AG72" s="77">
        <f t="shared" si="251"/>
        <v>4865.5</v>
      </c>
      <c r="AH72" s="77">
        <f t="shared" si="251"/>
        <v>6192.5</v>
      </c>
      <c r="AI72" s="77">
        <f t="shared" si="251"/>
        <v>8846.4</v>
      </c>
      <c r="AJ72" s="81">
        <f>ROUNDDOWN($C72*AK72,1)</f>
        <v>3118.5</v>
      </c>
      <c r="AK72" s="80">
        <f>RCF!C$25</f>
        <v>16.413333333333334</v>
      </c>
      <c r="AL72" s="81">
        <f>ROUNDDOWN($C72*AM72,1)</f>
        <v>4196.3999999999996</v>
      </c>
      <c r="AM72" s="80">
        <f>RCF!C$59</f>
        <v>22.086666666666666</v>
      </c>
      <c r="AN72" s="81">
        <f>ROUNDDOWN($C72*AO72,1)</f>
        <v>3350.2</v>
      </c>
      <c r="AO72" s="80">
        <f>RCF!C$33</f>
        <v>17.632999999999999</v>
      </c>
      <c r="AP72" s="77">
        <f>ROUNDDOWN($AN72*AP$6,1)</f>
        <v>5025.3</v>
      </c>
      <c r="AQ72" s="81">
        <f>ROUNDDOWN($C72*AR72,1)</f>
        <v>3311.7</v>
      </c>
      <c r="AR72" s="80">
        <f>RCF!C$35</f>
        <v>17.43</v>
      </c>
      <c r="AS72" s="77">
        <f>ROUNDDOWN($AQ72*AS$6,1)</f>
        <v>4305.2</v>
      </c>
      <c r="AT72" s="77">
        <f>ROUNDDOWN($AQ72*AT$6,1)</f>
        <v>4801.8999999999996</v>
      </c>
      <c r="AU72" s="81">
        <f>ROUNDDOWN($C72*AV72,1)</f>
        <v>3247.1</v>
      </c>
      <c r="AV72" s="80">
        <f>RCF!C$37</f>
        <v>17.09</v>
      </c>
      <c r="AW72" s="81">
        <f t="shared" si="204"/>
        <v>3253.9</v>
      </c>
      <c r="AX72" s="80">
        <f>RCF!C$64</f>
        <v>17.125999999999998</v>
      </c>
      <c r="AY72" s="81">
        <f>ROUNDDOWN($C72*AZ72,1)</f>
        <v>3315.5</v>
      </c>
      <c r="AZ72" s="80">
        <f>RCF!C$39</f>
        <v>17.45</v>
      </c>
      <c r="BA72" s="81">
        <f>ROUNDDOWN($C72*BB72,1)</f>
        <v>3169</v>
      </c>
      <c r="BB72" s="80">
        <f>RCF!C$41</f>
        <v>16.678999999999998</v>
      </c>
    </row>
    <row r="73" spans="1:54" s="97" customFormat="1" x14ac:dyDescent="0.2">
      <c r="A73" s="100" t="s">
        <v>120</v>
      </c>
      <c r="B73" s="79" t="s">
        <v>93</v>
      </c>
      <c r="C73" s="72">
        <v>12</v>
      </c>
      <c r="D73" s="101">
        <f t="shared" si="245"/>
        <v>200.1</v>
      </c>
      <c r="E73" s="102">
        <f t="shared" ref="E73:E79" si="252">BB73</f>
        <v>16.678999999999998</v>
      </c>
      <c r="F73" s="81">
        <f t="shared" si="208"/>
        <v>200.4</v>
      </c>
      <c r="G73" s="80">
        <f>RCF!C$5</f>
        <v>16.707999999999998</v>
      </c>
      <c r="H73" s="81">
        <f t="shared" si="209"/>
        <v>200.4</v>
      </c>
      <c r="I73" s="80">
        <f t="shared" si="210"/>
        <v>16.707999999999998</v>
      </c>
      <c r="J73" s="82">
        <f t="shared" si="211"/>
        <v>220.5</v>
      </c>
      <c r="K73" s="82">
        <f t="shared" si="211"/>
        <v>274.7</v>
      </c>
      <c r="L73" s="82">
        <f t="shared" si="211"/>
        <v>294.7</v>
      </c>
      <c r="M73" s="82">
        <f t="shared" si="211"/>
        <v>324.8</v>
      </c>
      <c r="N73" s="82">
        <f t="shared" si="211"/>
        <v>401</v>
      </c>
      <c r="O73" s="82">
        <f t="shared" si="211"/>
        <v>431.1</v>
      </c>
      <c r="P73" s="82">
        <f t="shared" si="211"/>
        <v>601.5</v>
      </c>
      <c r="Q73" s="81">
        <f t="shared" si="212"/>
        <v>197.4</v>
      </c>
      <c r="R73" s="80">
        <f>RCF!C$7</f>
        <v>16.45</v>
      </c>
      <c r="S73" s="82">
        <f t="shared" si="226"/>
        <v>256.60000000000002</v>
      </c>
      <c r="T73" s="82">
        <f t="shared" si="226"/>
        <v>296.10000000000002</v>
      </c>
      <c r="U73" s="81">
        <f t="shared" si="213"/>
        <v>194.3</v>
      </c>
      <c r="V73" s="80">
        <f>RCF!C$9</f>
        <v>16.192</v>
      </c>
      <c r="W73" s="81">
        <f t="shared" si="214"/>
        <v>194.3</v>
      </c>
      <c r="X73" s="80">
        <f t="shared" si="215"/>
        <v>16.192</v>
      </c>
      <c r="Y73" s="82">
        <f t="shared" si="227"/>
        <v>213.7</v>
      </c>
      <c r="Z73" s="82">
        <f t="shared" si="227"/>
        <v>266.10000000000002</v>
      </c>
      <c r="AA73" s="82">
        <f t="shared" si="227"/>
        <v>314.7</v>
      </c>
      <c r="AB73" s="82">
        <f t="shared" si="227"/>
        <v>285.60000000000002</v>
      </c>
      <c r="AC73" s="82">
        <f t="shared" si="227"/>
        <v>421.6</v>
      </c>
      <c r="AD73" s="82">
        <f t="shared" si="227"/>
        <v>582.9</v>
      </c>
      <c r="AE73" s="81">
        <f t="shared" si="216"/>
        <v>186.2</v>
      </c>
      <c r="AF73" s="80">
        <f>RCF!C$13</f>
        <v>15.52</v>
      </c>
      <c r="AG73" s="77">
        <f t="shared" si="228"/>
        <v>307.2</v>
      </c>
      <c r="AH73" s="77">
        <f t="shared" si="228"/>
        <v>391</v>
      </c>
      <c r="AI73" s="77">
        <f t="shared" si="228"/>
        <v>558.6</v>
      </c>
      <c r="AJ73" s="81">
        <f t="shared" si="217"/>
        <v>196.9</v>
      </c>
      <c r="AK73" s="80">
        <f>RCF!C$25</f>
        <v>16.413333333333334</v>
      </c>
      <c r="AL73" s="81">
        <f t="shared" si="218"/>
        <v>265</v>
      </c>
      <c r="AM73" s="80">
        <f>RCF!C$59</f>
        <v>22.086666666666666</v>
      </c>
      <c r="AN73" s="81">
        <f t="shared" si="219"/>
        <v>211.5</v>
      </c>
      <c r="AO73" s="80">
        <f>RCF!C$33</f>
        <v>17.632999999999999</v>
      </c>
      <c r="AP73" s="77">
        <f t="shared" si="220"/>
        <v>317.2</v>
      </c>
      <c r="AQ73" s="81">
        <f t="shared" si="221"/>
        <v>209.1</v>
      </c>
      <c r="AR73" s="80">
        <f>RCF!C$35</f>
        <v>17.43</v>
      </c>
      <c r="AS73" s="77">
        <f t="shared" si="222"/>
        <v>271.8</v>
      </c>
      <c r="AT73" s="77">
        <f t="shared" si="222"/>
        <v>303.10000000000002</v>
      </c>
      <c r="AU73" s="81">
        <f t="shared" si="223"/>
        <v>205</v>
      </c>
      <c r="AV73" s="80">
        <f>RCF!C$37</f>
        <v>17.09</v>
      </c>
      <c r="AW73" s="81">
        <f t="shared" si="204"/>
        <v>205.5</v>
      </c>
      <c r="AX73" s="80">
        <f>RCF!C$64</f>
        <v>17.125999999999998</v>
      </c>
      <c r="AY73" s="81">
        <f t="shared" si="224"/>
        <v>209.4</v>
      </c>
      <c r="AZ73" s="80">
        <f>RCF!C$39</f>
        <v>17.45</v>
      </c>
      <c r="BA73" s="81">
        <f t="shared" si="225"/>
        <v>200.1</v>
      </c>
      <c r="BB73" s="80">
        <f>RCF!C$41</f>
        <v>16.678999999999998</v>
      </c>
    </row>
    <row r="74" spans="1:54" s="97" customFormat="1" x14ac:dyDescent="0.2">
      <c r="A74" s="100" t="s">
        <v>121</v>
      </c>
      <c r="B74" s="99" t="s">
        <v>94</v>
      </c>
      <c r="C74" s="72">
        <v>284.13</v>
      </c>
      <c r="D74" s="101">
        <f t="shared" si="245"/>
        <v>4739</v>
      </c>
      <c r="E74" s="102">
        <f t="shared" si="252"/>
        <v>16.678999999999998</v>
      </c>
      <c r="F74" s="81">
        <f t="shared" si="208"/>
        <v>4747.2</v>
      </c>
      <c r="G74" s="80">
        <f>RCF!C$5</f>
        <v>16.707999999999998</v>
      </c>
      <c r="H74" s="81">
        <f t="shared" si="209"/>
        <v>4747.2</v>
      </c>
      <c r="I74" s="80">
        <f t="shared" si="210"/>
        <v>16.707999999999998</v>
      </c>
      <c r="J74" s="82">
        <f t="shared" si="211"/>
        <v>5222</v>
      </c>
      <c r="K74" s="82">
        <f t="shared" si="211"/>
        <v>6503.7</v>
      </c>
      <c r="L74" s="82">
        <f t="shared" si="211"/>
        <v>6978.4</v>
      </c>
      <c r="M74" s="82">
        <f t="shared" si="211"/>
        <v>7690.5</v>
      </c>
      <c r="N74" s="82">
        <f t="shared" si="211"/>
        <v>9494.5</v>
      </c>
      <c r="O74" s="82">
        <f t="shared" si="211"/>
        <v>10206.6</v>
      </c>
      <c r="P74" s="82">
        <f t="shared" si="211"/>
        <v>14241.7</v>
      </c>
      <c r="Q74" s="81">
        <f t="shared" si="212"/>
        <v>4673.8999999999996</v>
      </c>
      <c r="R74" s="80">
        <f>RCF!C$7</f>
        <v>16.45</v>
      </c>
      <c r="S74" s="82">
        <f t="shared" si="226"/>
        <v>6076</v>
      </c>
      <c r="T74" s="82">
        <f t="shared" si="226"/>
        <v>7010.8</v>
      </c>
      <c r="U74" s="81">
        <f t="shared" si="213"/>
        <v>4600.6000000000004</v>
      </c>
      <c r="V74" s="80">
        <f>RCF!C$9</f>
        <v>16.192</v>
      </c>
      <c r="W74" s="81">
        <f t="shared" si="214"/>
        <v>4600.6000000000004</v>
      </c>
      <c r="X74" s="80">
        <f t="shared" si="215"/>
        <v>16.192</v>
      </c>
      <c r="Y74" s="82">
        <f t="shared" si="227"/>
        <v>5060.6000000000004</v>
      </c>
      <c r="Z74" s="82">
        <f t="shared" si="227"/>
        <v>6302.8</v>
      </c>
      <c r="AA74" s="82">
        <f t="shared" si="227"/>
        <v>7452.9</v>
      </c>
      <c r="AB74" s="82">
        <f t="shared" si="227"/>
        <v>6762.8</v>
      </c>
      <c r="AC74" s="82">
        <f t="shared" si="227"/>
        <v>9983.2999999999993</v>
      </c>
      <c r="AD74" s="82">
        <f t="shared" si="227"/>
        <v>13801.8</v>
      </c>
      <c r="AE74" s="81">
        <f t="shared" si="216"/>
        <v>4409.6000000000004</v>
      </c>
      <c r="AF74" s="80">
        <f>RCF!C$13</f>
        <v>15.52</v>
      </c>
      <c r="AG74" s="77">
        <f t="shared" si="228"/>
        <v>7275.8</v>
      </c>
      <c r="AH74" s="77">
        <f t="shared" si="228"/>
        <v>9260.2000000000007</v>
      </c>
      <c r="AI74" s="77">
        <f t="shared" si="228"/>
        <v>13228.8</v>
      </c>
      <c r="AJ74" s="81">
        <f t="shared" si="217"/>
        <v>4663.5</v>
      </c>
      <c r="AK74" s="80">
        <f>RCF!C$25</f>
        <v>16.413333333333334</v>
      </c>
      <c r="AL74" s="81">
        <f t="shared" si="218"/>
        <v>6275.4</v>
      </c>
      <c r="AM74" s="80">
        <f>RCF!C$59</f>
        <v>22.086666666666666</v>
      </c>
      <c r="AN74" s="81">
        <f t="shared" si="219"/>
        <v>5010</v>
      </c>
      <c r="AO74" s="80">
        <f>RCF!C$33</f>
        <v>17.632999999999999</v>
      </c>
      <c r="AP74" s="77">
        <f t="shared" si="220"/>
        <v>7515</v>
      </c>
      <c r="AQ74" s="81">
        <f t="shared" si="221"/>
        <v>4952.3</v>
      </c>
      <c r="AR74" s="80">
        <f>RCF!C$35</f>
        <v>17.43</v>
      </c>
      <c r="AS74" s="77">
        <f t="shared" si="222"/>
        <v>6437.9</v>
      </c>
      <c r="AT74" s="77">
        <f t="shared" si="222"/>
        <v>7180.8</v>
      </c>
      <c r="AU74" s="81">
        <f t="shared" si="223"/>
        <v>4855.7</v>
      </c>
      <c r="AV74" s="80">
        <f>RCF!C$37</f>
        <v>17.09</v>
      </c>
      <c r="AW74" s="81">
        <f t="shared" si="204"/>
        <v>4866</v>
      </c>
      <c r="AX74" s="80">
        <f>RCF!C$64</f>
        <v>17.125999999999998</v>
      </c>
      <c r="AY74" s="81">
        <f t="shared" si="224"/>
        <v>4958</v>
      </c>
      <c r="AZ74" s="80">
        <f>RCF!C$39</f>
        <v>17.45</v>
      </c>
      <c r="BA74" s="81">
        <f t="shared" si="225"/>
        <v>4739</v>
      </c>
      <c r="BB74" s="80">
        <f>RCF!C$41</f>
        <v>16.678999999999998</v>
      </c>
    </row>
    <row r="75" spans="1:54" s="97" customFormat="1" ht="25.5" x14ac:dyDescent="0.2">
      <c r="A75" s="100" t="s">
        <v>122</v>
      </c>
      <c r="B75" s="79" t="s">
        <v>134</v>
      </c>
      <c r="C75" s="72">
        <v>109</v>
      </c>
      <c r="D75" s="101">
        <f t="shared" si="245"/>
        <v>1818</v>
      </c>
      <c r="E75" s="102">
        <f t="shared" si="252"/>
        <v>16.678999999999998</v>
      </c>
      <c r="F75" s="81">
        <f t="shared" si="208"/>
        <v>1821.1</v>
      </c>
      <c r="G75" s="80">
        <f>RCF!C$5</f>
        <v>16.707999999999998</v>
      </c>
      <c r="H75" s="81">
        <f t="shared" si="209"/>
        <v>1821.1</v>
      </c>
      <c r="I75" s="80">
        <f t="shared" si="210"/>
        <v>16.707999999999998</v>
      </c>
      <c r="J75" s="82">
        <f t="shared" si="211"/>
        <v>2003.3</v>
      </c>
      <c r="K75" s="82">
        <f t="shared" si="211"/>
        <v>2495</v>
      </c>
      <c r="L75" s="82">
        <f t="shared" si="211"/>
        <v>2677.1</v>
      </c>
      <c r="M75" s="82">
        <f t="shared" si="211"/>
        <v>2950.3</v>
      </c>
      <c r="N75" s="82">
        <f t="shared" si="211"/>
        <v>3642.3</v>
      </c>
      <c r="O75" s="82">
        <f t="shared" si="211"/>
        <v>3915.5</v>
      </c>
      <c r="P75" s="82">
        <f t="shared" si="211"/>
        <v>5463.5</v>
      </c>
      <c r="Q75" s="81">
        <f t="shared" si="212"/>
        <v>1793</v>
      </c>
      <c r="R75" s="80">
        <f>RCF!C$7</f>
        <v>16.45</v>
      </c>
      <c r="S75" s="82">
        <f t="shared" si="226"/>
        <v>2330.9</v>
      </c>
      <c r="T75" s="82">
        <f t="shared" si="226"/>
        <v>2689.5</v>
      </c>
      <c r="U75" s="81">
        <f t="shared" si="213"/>
        <v>1764.9</v>
      </c>
      <c r="V75" s="80">
        <f>RCF!C$9</f>
        <v>16.192</v>
      </c>
      <c r="W75" s="81">
        <f t="shared" si="214"/>
        <v>1764.9</v>
      </c>
      <c r="X75" s="80">
        <f t="shared" si="215"/>
        <v>16.192</v>
      </c>
      <c r="Y75" s="82">
        <f t="shared" si="227"/>
        <v>1941.3</v>
      </c>
      <c r="Z75" s="82">
        <f t="shared" si="227"/>
        <v>2417.9</v>
      </c>
      <c r="AA75" s="82">
        <f t="shared" si="227"/>
        <v>2859.1</v>
      </c>
      <c r="AB75" s="82">
        <f t="shared" si="227"/>
        <v>2594.4</v>
      </c>
      <c r="AC75" s="82">
        <f t="shared" si="227"/>
        <v>3829.8</v>
      </c>
      <c r="AD75" s="82">
        <f t="shared" si="227"/>
        <v>5294.7</v>
      </c>
      <c r="AE75" s="81">
        <f t="shared" si="216"/>
        <v>1691.6</v>
      </c>
      <c r="AF75" s="80">
        <f>RCF!C$13</f>
        <v>15.52</v>
      </c>
      <c r="AG75" s="77">
        <f t="shared" si="228"/>
        <v>2791.1</v>
      </c>
      <c r="AH75" s="77">
        <f t="shared" si="228"/>
        <v>3552.4</v>
      </c>
      <c r="AI75" s="77">
        <f t="shared" si="228"/>
        <v>5074.8</v>
      </c>
      <c r="AJ75" s="81">
        <f t="shared" si="217"/>
        <v>1789</v>
      </c>
      <c r="AK75" s="80">
        <f>RCF!C$25</f>
        <v>16.413333333333334</v>
      </c>
      <c r="AL75" s="81">
        <f t="shared" si="218"/>
        <v>2407.4</v>
      </c>
      <c r="AM75" s="80">
        <f>RCF!C$59</f>
        <v>22.086666666666666</v>
      </c>
      <c r="AN75" s="81">
        <f t="shared" si="219"/>
        <v>1921.9</v>
      </c>
      <c r="AO75" s="80">
        <f>RCF!C$33</f>
        <v>17.632999999999999</v>
      </c>
      <c r="AP75" s="77">
        <f t="shared" si="220"/>
        <v>2882.8</v>
      </c>
      <c r="AQ75" s="81">
        <f t="shared" si="221"/>
        <v>1899.8</v>
      </c>
      <c r="AR75" s="80">
        <f>RCF!C$35</f>
        <v>17.43</v>
      </c>
      <c r="AS75" s="77">
        <f t="shared" si="222"/>
        <v>2469.6999999999998</v>
      </c>
      <c r="AT75" s="77">
        <f t="shared" si="222"/>
        <v>2754.7</v>
      </c>
      <c r="AU75" s="81">
        <f t="shared" si="223"/>
        <v>1862.8</v>
      </c>
      <c r="AV75" s="80">
        <f>RCF!C$37</f>
        <v>17.09</v>
      </c>
      <c r="AW75" s="81">
        <f t="shared" si="204"/>
        <v>1866.7</v>
      </c>
      <c r="AX75" s="80">
        <f>RCF!C$64</f>
        <v>17.125999999999998</v>
      </c>
      <c r="AY75" s="81">
        <f t="shared" si="224"/>
        <v>1902</v>
      </c>
      <c r="AZ75" s="80">
        <f>RCF!C$39</f>
        <v>17.45</v>
      </c>
      <c r="BA75" s="81">
        <f t="shared" si="225"/>
        <v>1818</v>
      </c>
      <c r="BB75" s="80">
        <f>RCF!C$41</f>
        <v>16.678999999999998</v>
      </c>
    </row>
    <row r="76" spans="1:54" s="97" customFormat="1" x14ac:dyDescent="0.2">
      <c r="A76" s="100" t="s">
        <v>123</v>
      </c>
      <c r="B76" s="79" t="s">
        <v>95</v>
      </c>
      <c r="C76" s="72">
        <v>109</v>
      </c>
      <c r="D76" s="101">
        <f t="shared" si="245"/>
        <v>1818</v>
      </c>
      <c r="E76" s="102">
        <f t="shared" si="252"/>
        <v>16.678999999999998</v>
      </c>
      <c r="F76" s="81">
        <f t="shared" si="208"/>
        <v>1821.1</v>
      </c>
      <c r="G76" s="80">
        <f>RCF!C$5</f>
        <v>16.707999999999998</v>
      </c>
      <c r="H76" s="81">
        <f t="shared" si="209"/>
        <v>1821.1</v>
      </c>
      <c r="I76" s="80">
        <f t="shared" si="210"/>
        <v>16.707999999999998</v>
      </c>
      <c r="J76" s="82">
        <f t="shared" si="211"/>
        <v>2003.3</v>
      </c>
      <c r="K76" s="82">
        <f t="shared" si="211"/>
        <v>2495</v>
      </c>
      <c r="L76" s="82">
        <f t="shared" si="211"/>
        <v>2677.1</v>
      </c>
      <c r="M76" s="82">
        <f t="shared" si="211"/>
        <v>2950.3</v>
      </c>
      <c r="N76" s="82">
        <f t="shared" si="211"/>
        <v>3642.3</v>
      </c>
      <c r="O76" s="82">
        <f t="shared" si="211"/>
        <v>3915.5</v>
      </c>
      <c r="P76" s="82">
        <f t="shared" si="211"/>
        <v>5463.5</v>
      </c>
      <c r="Q76" s="81">
        <f t="shared" si="212"/>
        <v>1793</v>
      </c>
      <c r="R76" s="80">
        <f>RCF!C$7</f>
        <v>16.45</v>
      </c>
      <c r="S76" s="82">
        <f t="shared" si="226"/>
        <v>2330.9</v>
      </c>
      <c r="T76" s="82">
        <f t="shared" si="226"/>
        <v>2689.5</v>
      </c>
      <c r="U76" s="81">
        <f t="shared" si="213"/>
        <v>1764.9</v>
      </c>
      <c r="V76" s="80">
        <f>RCF!C$9</f>
        <v>16.192</v>
      </c>
      <c r="W76" s="81">
        <f t="shared" si="214"/>
        <v>1764.9</v>
      </c>
      <c r="X76" s="80">
        <f t="shared" si="215"/>
        <v>16.192</v>
      </c>
      <c r="Y76" s="82">
        <f t="shared" si="227"/>
        <v>1941.3</v>
      </c>
      <c r="Z76" s="82">
        <f t="shared" si="227"/>
        <v>2417.9</v>
      </c>
      <c r="AA76" s="82">
        <f t="shared" si="227"/>
        <v>2859.1</v>
      </c>
      <c r="AB76" s="82">
        <f t="shared" si="227"/>
        <v>2594.4</v>
      </c>
      <c r="AC76" s="82">
        <f t="shared" si="227"/>
        <v>3829.8</v>
      </c>
      <c r="AD76" s="82">
        <f t="shared" si="227"/>
        <v>5294.7</v>
      </c>
      <c r="AE76" s="81">
        <f t="shared" si="216"/>
        <v>1691.6</v>
      </c>
      <c r="AF76" s="80">
        <f>RCF!C$13</f>
        <v>15.52</v>
      </c>
      <c r="AG76" s="77">
        <f t="shared" si="228"/>
        <v>2791.1</v>
      </c>
      <c r="AH76" s="77">
        <f t="shared" si="228"/>
        <v>3552.4</v>
      </c>
      <c r="AI76" s="77">
        <f t="shared" si="228"/>
        <v>5074.8</v>
      </c>
      <c r="AJ76" s="81">
        <f t="shared" si="217"/>
        <v>1789</v>
      </c>
      <c r="AK76" s="80">
        <f>RCF!C$25</f>
        <v>16.413333333333334</v>
      </c>
      <c r="AL76" s="81">
        <f t="shared" si="218"/>
        <v>2407.4</v>
      </c>
      <c r="AM76" s="80">
        <f>RCF!C$59</f>
        <v>22.086666666666666</v>
      </c>
      <c r="AN76" s="81">
        <f t="shared" si="219"/>
        <v>1921.9</v>
      </c>
      <c r="AO76" s="80">
        <f>RCF!C$33</f>
        <v>17.632999999999999</v>
      </c>
      <c r="AP76" s="77">
        <f t="shared" si="220"/>
        <v>2882.8</v>
      </c>
      <c r="AQ76" s="81">
        <f t="shared" si="221"/>
        <v>1899.8</v>
      </c>
      <c r="AR76" s="80">
        <f>RCF!C$35</f>
        <v>17.43</v>
      </c>
      <c r="AS76" s="77">
        <f t="shared" si="222"/>
        <v>2469.6999999999998</v>
      </c>
      <c r="AT76" s="77">
        <f t="shared" si="222"/>
        <v>2754.7</v>
      </c>
      <c r="AU76" s="81">
        <f t="shared" si="223"/>
        <v>1862.8</v>
      </c>
      <c r="AV76" s="80">
        <f>RCF!C$37</f>
        <v>17.09</v>
      </c>
      <c r="AW76" s="81">
        <f t="shared" si="204"/>
        <v>1866.7</v>
      </c>
      <c r="AX76" s="80">
        <f>RCF!C$64</f>
        <v>17.125999999999998</v>
      </c>
      <c r="AY76" s="81">
        <f t="shared" si="224"/>
        <v>1902</v>
      </c>
      <c r="AZ76" s="80">
        <f>RCF!C$39</f>
        <v>17.45</v>
      </c>
      <c r="BA76" s="81">
        <f t="shared" si="225"/>
        <v>1818</v>
      </c>
      <c r="BB76" s="80">
        <f>RCF!C$41</f>
        <v>16.678999999999998</v>
      </c>
    </row>
    <row r="77" spans="1:54" s="97" customFormat="1" x14ac:dyDescent="0.2">
      <c r="A77" s="100" t="s">
        <v>124</v>
      </c>
      <c r="B77" s="99" t="s">
        <v>96</v>
      </c>
      <c r="C77" s="72">
        <v>120</v>
      </c>
      <c r="D77" s="101">
        <f t="shared" si="245"/>
        <v>2001.5</v>
      </c>
      <c r="E77" s="102">
        <f t="shared" si="252"/>
        <v>16.678999999999998</v>
      </c>
      <c r="F77" s="81">
        <f t="shared" si="208"/>
        <v>2004.9</v>
      </c>
      <c r="G77" s="80">
        <f>RCF!C$5</f>
        <v>16.707999999999998</v>
      </c>
      <c r="H77" s="81">
        <f t="shared" si="209"/>
        <v>2004.9</v>
      </c>
      <c r="I77" s="80">
        <f t="shared" si="210"/>
        <v>16.707999999999998</v>
      </c>
      <c r="J77" s="82">
        <f t="shared" si="211"/>
        <v>2205.5</v>
      </c>
      <c r="K77" s="82">
        <f t="shared" si="211"/>
        <v>2746.8</v>
      </c>
      <c r="L77" s="82">
        <f t="shared" si="211"/>
        <v>2947.3</v>
      </c>
      <c r="M77" s="82">
        <f t="shared" si="211"/>
        <v>3248</v>
      </c>
      <c r="N77" s="82">
        <f t="shared" si="211"/>
        <v>4009.9</v>
      </c>
      <c r="O77" s="82">
        <f t="shared" si="211"/>
        <v>4310.7</v>
      </c>
      <c r="P77" s="82">
        <f t="shared" si="211"/>
        <v>6014.9</v>
      </c>
      <c r="Q77" s="81">
        <f t="shared" si="212"/>
        <v>1974</v>
      </c>
      <c r="R77" s="80">
        <f>RCF!C$7</f>
        <v>16.45</v>
      </c>
      <c r="S77" s="82">
        <f t="shared" si="226"/>
        <v>2566.1999999999998</v>
      </c>
      <c r="T77" s="82">
        <f t="shared" si="226"/>
        <v>2961</v>
      </c>
      <c r="U77" s="81">
        <f t="shared" si="213"/>
        <v>1943</v>
      </c>
      <c r="V77" s="80">
        <f>RCF!C$9</f>
        <v>16.192</v>
      </c>
      <c r="W77" s="81">
        <f t="shared" si="214"/>
        <v>1943</v>
      </c>
      <c r="X77" s="80">
        <f t="shared" si="215"/>
        <v>16.192</v>
      </c>
      <c r="Y77" s="82">
        <f t="shared" si="227"/>
        <v>2137.3000000000002</v>
      </c>
      <c r="Z77" s="82">
        <f t="shared" si="227"/>
        <v>2661.9</v>
      </c>
      <c r="AA77" s="82">
        <f t="shared" si="227"/>
        <v>3147.6</v>
      </c>
      <c r="AB77" s="82">
        <f t="shared" si="227"/>
        <v>2856.2</v>
      </c>
      <c r="AC77" s="82">
        <f t="shared" si="227"/>
        <v>4216.3</v>
      </c>
      <c r="AD77" s="82">
        <f t="shared" si="227"/>
        <v>5829</v>
      </c>
      <c r="AE77" s="81">
        <f t="shared" si="216"/>
        <v>1862.4</v>
      </c>
      <c r="AF77" s="80">
        <f>RCF!C$13</f>
        <v>15.52</v>
      </c>
      <c r="AG77" s="77">
        <f t="shared" si="228"/>
        <v>3073</v>
      </c>
      <c r="AH77" s="77">
        <f t="shared" si="228"/>
        <v>3911</v>
      </c>
      <c r="AI77" s="77">
        <f t="shared" si="228"/>
        <v>5587.2</v>
      </c>
      <c r="AJ77" s="81">
        <f t="shared" si="217"/>
        <v>1969.6</v>
      </c>
      <c r="AK77" s="80">
        <f>RCF!C$25</f>
        <v>16.413333333333334</v>
      </c>
      <c r="AL77" s="81">
        <f t="shared" si="218"/>
        <v>2650.4</v>
      </c>
      <c r="AM77" s="80">
        <f>RCF!C$59</f>
        <v>22.086666666666666</v>
      </c>
      <c r="AN77" s="81">
        <f t="shared" si="219"/>
        <v>2115.9</v>
      </c>
      <c r="AO77" s="80">
        <f>RCF!C$33</f>
        <v>17.632999999999999</v>
      </c>
      <c r="AP77" s="77">
        <f t="shared" si="220"/>
        <v>3173.8</v>
      </c>
      <c r="AQ77" s="81">
        <f t="shared" si="221"/>
        <v>2091.6</v>
      </c>
      <c r="AR77" s="80">
        <f>RCF!C$35</f>
        <v>17.43</v>
      </c>
      <c r="AS77" s="77">
        <f t="shared" si="222"/>
        <v>2719</v>
      </c>
      <c r="AT77" s="77">
        <f t="shared" si="222"/>
        <v>3032.8</v>
      </c>
      <c r="AU77" s="81">
        <f t="shared" si="223"/>
        <v>2050.8000000000002</v>
      </c>
      <c r="AV77" s="80">
        <f>RCF!C$37</f>
        <v>17.09</v>
      </c>
      <c r="AW77" s="81">
        <f t="shared" si="204"/>
        <v>2055.1</v>
      </c>
      <c r="AX77" s="80">
        <f>RCF!C$64</f>
        <v>17.125999999999998</v>
      </c>
      <c r="AY77" s="81">
        <f t="shared" si="224"/>
        <v>2094</v>
      </c>
      <c r="AZ77" s="80">
        <f>RCF!C$39</f>
        <v>17.45</v>
      </c>
      <c r="BA77" s="81">
        <f t="shared" si="225"/>
        <v>2001.4</v>
      </c>
      <c r="BB77" s="80">
        <f>RCF!C$41</f>
        <v>16.678999999999998</v>
      </c>
    </row>
    <row r="78" spans="1:54" s="97" customFormat="1" x14ac:dyDescent="0.2">
      <c r="A78" s="100" t="s">
        <v>125</v>
      </c>
      <c r="B78" s="99" t="s">
        <v>98</v>
      </c>
      <c r="C78" s="72">
        <v>50</v>
      </c>
      <c r="D78" s="101">
        <f t="shared" si="245"/>
        <v>794.9</v>
      </c>
      <c r="E78" s="102">
        <f t="shared" si="252"/>
        <v>15.898</v>
      </c>
      <c r="F78" s="81">
        <f t="shared" ref="F78:H86" si="253">ROUNDDOWN($C78*G78,1)</f>
        <v>796.2</v>
      </c>
      <c r="G78" s="80">
        <f>RCF!F$5</f>
        <v>15.925000000000001</v>
      </c>
      <c r="H78" s="81">
        <f t="shared" si="253"/>
        <v>796.2</v>
      </c>
      <c r="I78" s="80">
        <f t="shared" si="210"/>
        <v>15.925000000000001</v>
      </c>
      <c r="J78" s="82">
        <f t="shared" ref="J78:P79" si="254">ROUND($C78*$I78*J$6,1)</f>
        <v>875.9</v>
      </c>
      <c r="K78" s="82">
        <f t="shared" si="254"/>
        <v>1090.9000000000001</v>
      </c>
      <c r="L78" s="82">
        <f t="shared" si="254"/>
        <v>1170.5</v>
      </c>
      <c r="M78" s="82">
        <f t="shared" si="254"/>
        <v>1289.9000000000001</v>
      </c>
      <c r="N78" s="82">
        <f t="shared" si="254"/>
        <v>1592.5</v>
      </c>
      <c r="O78" s="82">
        <f t="shared" si="254"/>
        <v>1711.9</v>
      </c>
      <c r="P78" s="82">
        <f t="shared" si="254"/>
        <v>2388.8000000000002</v>
      </c>
      <c r="Q78" s="81">
        <f t="shared" si="212"/>
        <v>786</v>
      </c>
      <c r="R78" s="80">
        <f>RCF!F$7</f>
        <v>15.72</v>
      </c>
      <c r="S78" s="82">
        <f t="shared" ref="S78:T86" si="255">ROUNDDOWN($Q78*S$6,1)</f>
        <v>1021.8</v>
      </c>
      <c r="T78" s="82">
        <f t="shared" si="255"/>
        <v>1179</v>
      </c>
      <c r="U78" s="81">
        <f t="shared" ref="U78:U79" si="256">ROUNDDOWN($C78*V78,1)</f>
        <v>771.7</v>
      </c>
      <c r="V78" s="80">
        <f>RCF!F$9</f>
        <v>15.435</v>
      </c>
      <c r="W78" s="81">
        <f t="shared" ref="W78:W79" si="257">ROUNDDOWN($C78*X78,1)</f>
        <v>771.7</v>
      </c>
      <c r="X78" s="80">
        <f>V78</f>
        <v>15.435</v>
      </c>
      <c r="Y78" s="82">
        <f t="shared" ref="Y78:AD86" si="258">ROUNDDOWN($W78*Y$6,1)</f>
        <v>848.8</v>
      </c>
      <c r="Z78" s="82">
        <f t="shared" si="258"/>
        <v>1057.2</v>
      </c>
      <c r="AA78" s="82">
        <f t="shared" si="258"/>
        <v>1250.0999999999999</v>
      </c>
      <c r="AB78" s="82">
        <f t="shared" si="258"/>
        <v>1134.3</v>
      </c>
      <c r="AC78" s="82">
        <f t="shared" si="258"/>
        <v>1674.5</v>
      </c>
      <c r="AD78" s="82">
        <f t="shared" si="258"/>
        <v>2315.1</v>
      </c>
      <c r="AE78" s="81">
        <f t="shared" ref="AE78:AE79" si="259">ROUNDDOWN($C78*AF78,1)</f>
        <v>740.5</v>
      </c>
      <c r="AF78" s="80">
        <f>RCF!F$13</f>
        <v>14.81</v>
      </c>
      <c r="AG78" s="77">
        <f t="shared" ref="AG78:AI86" si="260">ROUND($AE78*AG$6,1)</f>
        <v>1221.8</v>
      </c>
      <c r="AH78" s="77">
        <f t="shared" si="260"/>
        <v>1555.1</v>
      </c>
      <c r="AI78" s="77">
        <f t="shared" si="260"/>
        <v>2221.5</v>
      </c>
      <c r="AJ78" s="81">
        <f t="shared" ref="AJ78:AJ79" si="261">ROUNDDOWN($C78*AK78,1)</f>
        <v>782.2</v>
      </c>
      <c r="AK78" s="80">
        <f>RCF!F$25</f>
        <v>15.644</v>
      </c>
      <c r="AL78" s="81">
        <f t="shared" ref="AL78:AL79" si="262">ROUNDDOWN($C78*AM78,1)</f>
        <v>1052.5</v>
      </c>
      <c r="AM78" s="80">
        <f>RCF!F$59</f>
        <v>21.05</v>
      </c>
      <c r="AN78" s="81">
        <f t="shared" si="219"/>
        <v>840.4</v>
      </c>
      <c r="AO78" s="80">
        <f>RCF!F$33</f>
        <v>16.808</v>
      </c>
      <c r="AP78" s="77">
        <f t="shared" ref="AP78:AP86" si="263">ROUNDDOWN($AN78*AP$6,1)</f>
        <v>1260.5999999999999</v>
      </c>
      <c r="AQ78" s="81">
        <f t="shared" si="221"/>
        <v>835</v>
      </c>
      <c r="AR78" s="80">
        <f>RCF!F$35</f>
        <v>16.7</v>
      </c>
      <c r="AS78" s="77">
        <f t="shared" ref="AS78:AT86" si="264">ROUNDDOWN($AQ78*AS$6,1)</f>
        <v>1085.5</v>
      </c>
      <c r="AT78" s="77">
        <f t="shared" si="264"/>
        <v>1210.7</v>
      </c>
      <c r="AU78" s="81">
        <f t="shared" si="223"/>
        <v>814.9</v>
      </c>
      <c r="AV78" s="80">
        <f>RCF!F$37</f>
        <v>16.297999999999998</v>
      </c>
      <c r="AW78" s="81">
        <f t="shared" si="204"/>
        <v>816.1</v>
      </c>
      <c r="AX78" s="80">
        <f>RCF!F$64</f>
        <v>16.323</v>
      </c>
      <c r="AY78" s="81">
        <f t="shared" si="224"/>
        <v>826.6</v>
      </c>
      <c r="AZ78" s="80">
        <f>RCF!F$39</f>
        <v>16.532</v>
      </c>
      <c r="BA78" s="81">
        <f t="shared" si="225"/>
        <v>794.9</v>
      </c>
      <c r="BB78" s="80">
        <f>RCF!F$41</f>
        <v>15.898</v>
      </c>
    </row>
    <row r="79" spans="1:54" s="97" customFormat="1" ht="25.5" x14ac:dyDescent="0.2">
      <c r="A79" s="100" t="s">
        <v>126</v>
      </c>
      <c r="B79" s="79" t="s">
        <v>97</v>
      </c>
      <c r="C79" s="72">
        <v>50</v>
      </c>
      <c r="D79" s="101">
        <f t="shared" si="245"/>
        <v>794.9</v>
      </c>
      <c r="E79" s="102">
        <f t="shared" si="252"/>
        <v>15.898</v>
      </c>
      <c r="F79" s="81">
        <f t="shared" si="253"/>
        <v>796.2</v>
      </c>
      <c r="G79" s="80">
        <f>RCF!F$5</f>
        <v>15.925000000000001</v>
      </c>
      <c r="H79" s="81">
        <f t="shared" si="253"/>
        <v>796.2</v>
      </c>
      <c r="I79" s="80">
        <f t="shared" ref="I79" si="265">G79</f>
        <v>15.925000000000001</v>
      </c>
      <c r="J79" s="82">
        <f t="shared" si="254"/>
        <v>875.9</v>
      </c>
      <c r="K79" s="82">
        <f t="shared" si="254"/>
        <v>1090.9000000000001</v>
      </c>
      <c r="L79" s="82">
        <f t="shared" si="254"/>
        <v>1170.5</v>
      </c>
      <c r="M79" s="82">
        <f t="shared" si="254"/>
        <v>1289.9000000000001</v>
      </c>
      <c r="N79" s="82">
        <f t="shared" si="254"/>
        <v>1592.5</v>
      </c>
      <c r="O79" s="82">
        <f t="shared" si="254"/>
        <v>1711.9</v>
      </c>
      <c r="P79" s="82">
        <f t="shared" si="254"/>
        <v>2388.8000000000002</v>
      </c>
      <c r="Q79" s="81">
        <f t="shared" si="212"/>
        <v>786</v>
      </c>
      <c r="R79" s="80">
        <f>RCF!F$7</f>
        <v>15.72</v>
      </c>
      <c r="S79" s="82">
        <f t="shared" si="255"/>
        <v>1021.8</v>
      </c>
      <c r="T79" s="82">
        <f t="shared" si="255"/>
        <v>1179</v>
      </c>
      <c r="U79" s="81">
        <f t="shared" si="256"/>
        <v>771.7</v>
      </c>
      <c r="V79" s="80">
        <f>RCF!F$9</f>
        <v>15.435</v>
      </c>
      <c r="W79" s="81">
        <f t="shared" si="257"/>
        <v>771.7</v>
      </c>
      <c r="X79" s="80">
        <f>V79</f>
        <v>15.435</v>
      </c>
      <c r="Y79" s="82">
        <f t="shared" si="258"/>
        <v>848.8</v>
      </c>
      <c r="Z79" s="82">
        <f t="shared" si="258"/>
        <v>1057.2</v>
      </c>
      <c r="AA79" s="82">
        <f t="shared" si="258"/>
        <v>1250.0999999999999</v>
      </c>
      <c r="AB79" s="82">
        <f t="shared" si="258"/>
        <v>1134.3</v>
      </c>
      <c r="AC79" s="82">
        <f t="shared" si="258"/>
        <v>1674.5</v>
      </c>
      <c r="AD79" s="82">
        <f t="shared" si="258"/>
        <v>2315.1</v>
      </c>
      <c r="AE79" s="81">
        <f t="shared" si="259"/>
        <v>740.5</v>
      </c>
      <c r="AF79" s="80">
        <f>RCF!F$13</f>
        <v>14.81</v>
      </c>
      <c r="AG79" s="77">
        <f t="shared" si="260"/>
        <v>1221.8</v>
      </c>
      <c r="AH79" s="77">
        <f t="shared" si="260"/>
        <v>1555.1</v>
      </c>
      <c r="AI79" s="77">
        <f t="shared" si="260"/>
        <v>2221.5</v>
      </c>
      <c r="AJ79" s="81">
        <f t="shared" si="261"/>
        <v>782.2</v>
      </c>
      <c r="AK79" s="80">
        <f>RCF!F$25</f>
        <v>15.644</v>
      </c>
      <c r="AL79" s="81">
        <f t="shared" si="262"/>
        <v>1052.5</v>
      </c>
      <c r="AM79" s="80">
        <f>RCF!F$59</f>
        <v>21.05</v>
      </c>
      <c r="AN79" s="81">
        <f t="shared" si="219"/>
        <v>840.4</v>
      </c>
      <c r="AO79" s="80">
        <f>RCF!F$33</f>
        <v>16.808</v>
      </c>
      <c r="AP79" s="77">
        <f t="shared" si="263"/>
        <v>1260.5999999999999</v>
      </c>
      <c r="AQ79" s="81">
        <f t="shared" si="221"/>
        <v>835</v>
      </c>
      <c r="AR79" s="80">
        <f>RCF!F$35</f>
        <v>16.7</v>
      </c>
      <c r="AS79" s="77">
        <f t="shared" si="264"/>
        <v>1085.5</v>
      </c>
      <c r="AT79" s="77">
        <f t="shared" si="264"/>
        <v>1210.7</v>
      </c>
      <c r="AU79" s="81">
        <f t="shared" si="223"/>
        <v>814.9</v>
      </c>
      <c r="AV79" s="80">
        <f>RCF!F$37</f>
        <v>16.297999999999998</v>
      </c>
      <c r="AW79" s="81">
        <f t="shared" si="204"/>
        <v>816.1</v>
      </c>
      <c r="AX79" s="80">
        <f>RCF!F$64</f>
        <v>16.323</v>
      </c>
      <c r="AY79" s="81">
        <f t="shared" si="224"/>
        <v>826.6</v>
      </c>
      <c r="AZ79" s="80">
        <f>RCF!F$39</f>
        <v>16.532</v>
      </c>
      <c r="BA79" s="81">
        <f t="shared" si="225"/>
        <v>794.9</v>
      </c>
      <c r="BB79" s="80">
        <f>RCF!F$41</f>
        <v>15.898</v>
      </c>
    </row>
    <row r="80" spans="1:54" s="97" customFormat="1" x14ac:dyDescent="0.2">
      <c r="A80" s="96">
        <v>4980</v>
      </c>
      <c r="B80" s="79" t="s">
        <v>105</v>
      </c>
      <c r="C80" s="72">
        <v>274.8</v>
      </c>
      <c r="D80" s="72">
        <f t="shared" si="245"/>
        <v>17582.599999999999</v>
      </c>
      <c r="E80" s="80">
        <f>RCF!C$43</f>
        <v>63.983120993999997</v>
      </c>
      <c r="F80" s="81">
        <f t="shared" si="253"/>
        <v>4591.3</v>
      </c>
      <c r="G80" s="80">
        <f>RCF!C$5</f>
        <v>16.707999999999998</v>
      </c>
      <c r="H80" s="81">
        <f t="shared" si="253"/>
        <v>4591.3</v>
      </c>
      <c r="I80" s="80">
        <f t="shared" ref="I80" si="266">G80</f>
        <v>16.707999999999998</v>
      </c>
      <c r="J80" s="82">
        <f t="shared" ref="J80:P84" si="267">ROUND($C80*$I80*J$6,1)</f>
        <v>5050.5</v>
      </c>
      <c r="K80" s="82">
        <f t="shared" si="267"/>
        <v>6290.2</v>
      </c>
      <c r="L80" s="82">
        <f t="shared" si="267"/>
        <v>6749.3</v>
      </c>
      <c r="M80" s="82">
        <f t="shared" si="267"/>
        <v>7438</v>
      </c>
      <c r="N80" s="82">
        <f t="shared" si="267"/>
        <v>9182.7000000000007</v>
      </c>
      <c r="O80" s="82">
        <f t="shared" si="267"/>
        <v>9871.4</v>
      </c>
      <c r="P80" s="82">
        <f t="shared" si="267"/>
        <v>13774.1</v>
      </c>
      <c r="Q80" s="81">
        <f t="shared" ref="Q80:Q84" si="268">ROUNDDOWN($C80*R80,1)</f>
        <v>4520.3999999999996</v>
      </c>
      <c r="R80" s="80">
        <f>RCF!C$7</f>
        <v>16.45</v>
      </c>
      <c r="S80" s="82">
        <f t="shared" si="255"/>
        <v>5876.5</v>
      </c>
      <c r="T80" s="82">
        <f t="shared" si="255"/>
        <v>6780.6</v>
      </c>
      <c r="U80" s="81">
        <f t="shared" ref="U80:U84" si="269">ROUNDDOWN($C80*V80,1)</f>
        <v>4449.5</v>
      </c>
      <c r="V80" s="80">
        <f>RCF!C$9</f>
        <v>16.192</v>
      </c>
      <c r="W80" s="81">
        <f t="shared" ref="W80:W84" si="270">ROUNDDOWN($C80*X80,1)</f>
        <v>4449.5</v>
      </c>
      <c r="X80" s="80">
        <f t="shared" ref="X80" si="271">V80</f>
        <v>16.192</v>
      </c>
      <c r="Y80" s="82">
        <f t="shared" si="258"/>
        <v>4894.3999999999996</v>
      </c>
      <c r="Z80" s="82">
        <f t="shared" si="258"/>
        <v>6095.8</v>
      </c>
      <c r="AA80" s="82">
        <f t="shared" si="258"/>
        <v>7208.1</v>
      </c>
      <c r="AB80" s="82">
        <f t="shared" si="258"/>
        <v>6540.7</v>
      </c>
      <c r="AC80" s="82">
        <f t="shared" si="258"/>
        <v>9655.4</v>
      </c>
      <c r="AD80" s="82">
        <f t="shared" si="258"/>
        <v>13348.5</v>
      </c>
      <c r="AE80" s="81">
        <f t="shared" ref="AE80:AE84" si="272">ROUNDDOWN($C80*AF80,1)</f>
        <v>4264.8</v>
      </c>
      <c r="AF80" s="80">
        <f>RCF!C$13</f>
        <v>15.52</v>
      </c>
      <c r="AG80" s="77">
        <f t="shared" si="260"/>
        <v>7036.9</v>
      </c>
      <c r="AH80" s="77">
        <f t="shared" si="260"/>
        <v>8956.1</v>
      </c>
      <c r="AI80" s="77">
        <f t="shared" si="260"/>
        <v>12794.4</v>
      </c>
      <c r="AJ80" s="81">
        <f t="shared" ref="AJ80:AJ84" si="273">ROUNDDOWN($C80*AK80,1)</f>
        <v>4510.3</v>
      </c>
      <c r="AK80" s="80">
        <f>RCF!C$25</f>
        <v>16.413333333333334</v>
      </c>
      <c r="AL80" s="81">
        <f t="shared" ref="AL80:AL84" si="274">ROUNDDOWN($C80*AM80,1)</f>
        <v>6069.4</v>
      </c>
      <c r="AM80" s="80">
        <f>RCF!C$59</f>
        <v>22.086666666666666</v>
      </c>
      <c r="AN80" s="81">
        <f t="shared" ref="AN80:AN84" si="275">ROUNDDOWN($C80*AO80,1)</f>
        <v>4845.5</v>
      </c>
      <c r="AO80" s="80">
        <f>RCF!C$33</f>
        <v>17.632999999999999</v>
      </c>
      <c r="AP80" s="77">
        <f t="shared" si="263"/>
        <v>7268.2</v>
      </c>
      <c r="AQ80" s="81">
        <f t="shared" ref="AQ80:AQ84" si="276">ROUNDDOWN($C80*AR80,1)</f>
        <v>4789.7</v>
      </c>
      <c r="AR80" s="80">
        <f>RCF!C$35</f>
        <v>17.43</v>
      </c>
      <c r="AS80" s="77">
        <f t="shared" si="264"/>
        <v>6226.6</v>
      </c>
      <c r="AT80" s="77">
        <f t="shared" si="264"/>
        <v>6945</v>
      </c>
      <c r="AU80" s="81">
        <f t="shared" ref="AU80:AU84" si="277">ROUNDDOWN($C80*AV80,1)</f>
        <v>4696.3</v>
      </c>
      <c r="AV80" s="80">
        <f>RCF!C$37</f>
        <v>17.09</v>
      </c>
      <c r="AW80" s="81">
        <f t="shared" si="204"/>
        <v>4706.2</v>
      </c>
      <c r="AX80" s="80">
        <f>RCF!C$64</f>
        <v>17.125999999999998</v>
      </c>
      <c r="AY80" s="81">
        <f t="shared" ref="AY80:AY84" si="278">ROUNDDOWN($C80*AZ80,1)</f>
        <v>4795.2</v>
      </c>
      <c r="AZ80" s="80">
        <f>RCF!C$39</f>
        <v>17.45</v>
      </c>
      <c r="BA80" s="81">
        <f t="shared" ref="BA80:BA84" si="279">ROUNDDOWN($C80*BB80,1)</f>
        <v>4583.3</v>
      </c>
      <c r="BB80" s="80">
        <f>RCF!C$41</f>
        <v>16.678999999999998</v>
      </c>
    </row>
    <row r="81" spans="1:54" s="97" customFormat="1" ht="25.5" x14ac:dyDescent="0.2">
      <c r="A81" s="98">
        <v>4981</v>
      </c>
      <c r="B81" s="79" t="s">
        <v>106</v>
      </c>
      <c r="C81" s="72"/>
      <c r="D81" s="72">
        <f t="shared" si="245"/>
        <v>0</v>
      </c>
      <c r="E81" s="80">
        <v>0</v>
      </c>
      <c r="F81" s="81">
        <f t="shared" si="253"/>
        <v>0</v>
      </c>
      <c r="G81" s="80"/>
      <c r="H81" s="81">
        <f t="shared" si="253"/>
        <v>0</v>
      </c>
      <c r="I81" s="72"/>
      <c r="J81" s="82">
        <f t="shared" ref="J81:P82" si="280">ROUND($C81*$I81*J$6,1)</f>
        <v>0</v>
      </c>
      <c r="K81" s="82">
        <f t="shared" si="280"/>
        <v>0</v>
      </c>
      <c r="L81" s="82">
        <f t="shared" si="280"/>
        <v>0</v>
      </c>
      <c r="M81" s="82">
        <f t="shared" si="280"/>
        <v>0</v>
      </c>
      <c r="N81" s="82">
        <f t="shared" si="280"/>
        <v>0</v>
      </c>
      <c r="O81" s="82">
        <f t="shared" si="280"/>
        <v>0</v>
      </c>
      <c r="P81" s="82">
        <f t="shared" si="280"/>
        <v>0</v>
      </c>
      <c r="Q81" s="81">
        <f t="shared" ref="Q81" si="281">ROUNDDOWN($C81*R81,1)</f>
        <v>0</v>
      </c>
      <c r="R81" s="71"/>
      <c r="S81" s="82">
        <f t="shared" si="255"/>
        <v>0</v>
      </c>
      <c r="T81" s="82">
        <f t="shared" si="255"/>
        <v>0</v>
      </c>
      <c r="U81" s="81">
        <f t="shared" ref="U81" si="282">ROUNDDOWN($C81*V81,1)</f>
        <v>0</v>
      </c>
      <c r="V81" s="71"/>
      <c r="W81" s="81">
        <f t="shared" ref="W81" si="283">ROUNDDOWN($C81*X81,1)</f>
        <v>0</v>
      </c>
      <c r="X81" s="71"/>
      <c r="Y81" s="82">
        <f t="shared" si="258"/>
        <v>0</v>
      </c>
      <c r="Z81" s="82">
        <f t="shared" si="258"/>
        <v>0</v>
      </c>
      <c r="AA81" s="82">
        <f t="shared" si="258"/>
        <v>0</v>
      </c>
      <c r="AB81" s="82">
        <f t="shared" si="258"/>
        <v>0</v>
      </c>
      <c r="AC81" s="82">
        <f t="shared" si="258"/>
        <v>0</v>
      </c>
      <c r="AD81" s="82">
        <f t="shared" si="258"/>
        <v>0</v>
      </c>
      <c r="AE81" s="81">
        <f t="shared" ref="AE81" si="284">ROUNDDOWN($C81*AF81,1)</f>
        <v>0</v>
      </c>
      <c r="AF81" s="71"/>
      <c r="AG81" s="77">
        <f t="shared" si="260"/>
        <v>0</v>
      </c>
      <c r="AH81" s="77">
        <f t="shared" si="260"/>
        <v>0</v>
      </c>
      <c r="AI81" s="77">
        <f t="shared" si="260"/>
        <v>0</v>
      </c>
      <c r="AJ81" s="81">
        <f t="shared" ref="AJ81" si="285">ROUNDDOWN($C81*AK81,1)</f>
        <v>0</v>
      </c>
      <c r="AK81" s="80"/>
      <c r="AL81" s="81">
        <f t="shared" ref="AL81" si="286">ROUNDDOWN($C81*AM81,1)</f>
        <v>0</v>
      </c>
      <c r="AM81" s="80"/>
      <c r="AN81" s="81">
        <f t="shared" ref="AN81" si="287">ROUNDDOWN($C81*AO81,1)</f>
        <v>0</v>
      </c>
      <c r="AO81" s="80"/>
      <c r="AP81" s="77">
        <f t="shared" si="263"/>
        <v>0</v>
      </c>
      <c r="AQ81" s="81">
        <f t="shared" ref="AQ81" si="288">ROUNDDOWN($C81*AR81,1)</f>
        <v>0</v>
      </c>
      <c r="AR81" s="80"/>
      <c r="AS81" s="77">
        <f t="shared" si="264"/>
        <v>0</v>
      </c>
      <c r="AT81" s="77">
        <f t="shared" si="264"/>
        <v>0</v>
      </c>
      <c r="AU81" s="81">
        <f t="shared" ref="AU81" si="289">ROUNDDOWN($C81*AV81,1)</f>
        <v>0</v>
      </c>
      <c r="AV81" s="80"/>
      <c r="AW81" s="81">
        <f t="shared" si="204"/>
        <v>0</v>
      </c>
      <c r="AX81" s="80"/>
      <c r="AY81" s="81">
        <f t="shared" ref="AY81" si="290">ROUNDDOWN($C81*AZ81,1)</f>
        <v>0</v>
      </c>
      <c r="AZ81" s="80"/>
      <c r="BA81" s="81">
        <f t="shared" ref="BA81" si="291">ROUNDDOWN($C81*BB81,1)</f>
        <v>0</v>
      </c>
      <c r="BB81" s="80">
        <v>0</v>
      </c>
    </row>
    <row r="82" spans="1:54" s="97" customFormat="1" x14ac:dyDescent="0.2">
      <c r="A82" s="98">
        <v>4983</v>
      </c>
      <c r="B82" s="79" t="s">
        <v>107</v>
      </c>
      <c r="C82" s="72"/>
      <c r="D82" s="72">
        <f t="shared" si="245"/>
        <v>0</v>
      </c>
      <c r="E82" s="102">
        <f>BB82</f>
        <v>0</v>
      </c>
      <c r="F82" s="81">
        <f t="shared" si="253"/>
        <v>0</v>
      </c>
      <c r="G82" s="105"/>
      <c r="H82" s="81">
        <f t="shared" si="253"/>
        <v>0</v>
      </c>
      <c r="I82" s="72"/>
      <c r="J82" s="82">
        <f t="shared" si="280"/>
        <v>0</v>
      </c>
      <c r="K82" s="82">
        <f t="shared" si="280"/>
        <v>0</v>
      </c>
      <c r="L82" s="82">
        <f t="shared" si="280"/>
        <v>0</v>
      </c>
      <c r="M82" s="82">
        <f t="shared" si="280"/>
        <v>0</v>
      </c>
      <c r="N82" s="82">
        <f t="shared" si="280"/>
        <v>0</v>
      </c>
      <c r="O82" s="82">
        <f t="shared" si="280"/>
        <v>0</v>
      </c>
      <c r="P82" s="82">
        <f t="shared" si="280"/>
        <v>0</v>
      </c>
      <c r="Q82" s="81">
        <f t="shared" ref="Q82" si="292">ROUNDDOWN($C82*R82,1)</f>
        <v>0</v>
      </c>
      <c r="R82" s="71"/>
      <c r="S82" s="82">
        <f t="shared" si="255"/>
        <v>0</v>
      </c>
      <c r="T82" s="82">
        <f t="shared" si="255"/>
        <v>0</v>
      </c>
      <c r="U82" s="81">
        <f t="shared" ref="U82" si="293">ROUNDDOWN($C82*V82,1)</f>
        <v>0</v>
      </c>
      <c r="V82" s="71"/>
      <c r="W82" s="81">
        <f t="shared" ref="W82" si="294">ROUNDDOWN($C82*X82,1)</f>
        <v>0</v>
      </c>
      <c r="X82" s="71"/>
      <c r="Y82" s="82">
        <f t="shared" si="258"/>
        <v>0</v>
      </c>
      <c r="Z82" s="82">
        <f t="shared" si="258"/>
        <v>0</v>
      </c>
      <c r="AA82" s="82">
        <f t="shared" si="258"/>
        <v>0</v>
      </c>
      <c r="AB82" s="82">
        <f t="shared" si="258"/>
        <v>0</v>
      </c>
      <c r="AC82" s="82">
        <f t="shared" si="258"/>
        <v>0</v>
      </c>
      <c r="AD82" s="82">
        <f t="shared" si="258"/>
        <v>0</v>
      </c>
      <c r="AE82" s="81">
        <f t="shared" ref="AE82" si="295">ROUNDDOWN($C82*AF82,1)</f>
        <v>0</v>
      </c>
      <c r="AF82" s="71"/>
      <c r="AG82" s="77">
        <f t="shared" si="260"/>
        <v>0</v>
      </c>
      <c r="AH82" s="77">
        <f t="shared" si="260"/>
        <v>0</v>
      </c>
      <c r="AI82" s="77">
        <f t="shared" si="260"/>
        <v>0</v>
      </c>
      <c r="AJ82" s="81">
        <f t="shared" ref="AJ82" si="296">ROUNDDOWN($C82*AK82,1)</f>
        <v>0</v>
      </c>
      <c r="AK82" s="80"/>
      <c r="AL82" s="81">
        <f t="shared" ref="AL82" si="297">ROUNDDOWN($C82*AM82,1)</f>
        <v>0</v>
      </c>
      <c r="AM82" s="80"/>
      <c r="AN82" s="81">
        <f t="shared" ref="AN82" si="298">ROUNDDOWN($C82*AO82,1)</f>
        <v>0</v>
      </c>
      <c r="AO82" s="80"/>
      <c r="AP82" s="77">
        <f t="shared" si="263"/>
        <v>0</v>
      </c>
      <c r="AQ82" s="81">
        <f t="shared" ref="AQ82" si="299">ROUNDDOWN($C82*AR82,1)</f>
        <v>0</v>
      </c>
      <c r="AR82" s="80"/>
      <c r="AS82" s="77">
        <f t="shared" si="264"/>
        <v>0</v>
      </c>
      <c r="AT82" s="77">
        <f t="shared" si="264"/>
        <v>0</v>
      </c>
      <c r="AU82" s="81">
        <f t="shared" ref="AU82" si="300">ROUNDDOWN($C82*AV82,1)</f>
        <v>0</v>
      </c>
      <c r="AV82" s="80"/>
      <c r="AW82" s="81">
        <f t="shared" si="204"/>
        <v>0</v>
      </c>
      <c r="AX82" s="80"/>
      <c r="AY82" s="81">
        <f t="shared" ref="AY82" si="301">ROUNDDOWN($C82*AZ82,1)</f>
        <v>0</v>
      </c>
      <c r="AZ82" s="80"/>
      <c r="BA82" s="81">
        <f t="shared" ref="BA82" si="302">ROUNDDOWN($C82*BB82,1)</f>
        <v>0</v>
      </c>
      <c r="BB82" s="80">
        <v>0</v>
      </c>
    </row>
    <row r="83" spans="1:54" s="97" customFormat="1" x14ac:dyDescent="0.2">
      <c r="A83" s="98">
        <v>4985</v>
      </c>
      <c r="B83" s="79" t="s">
        <v>108</v>
      </c>
      <c r="C83" s="72">
        <v>150</v>
      </c>
      <c r="D83" s="72">
        <f t="shared" si="245"/>
        <v>9597.5</v>
      </c>
      <c r="E83" s="80">
        <f>RCF!C$43</f>
        <v>63.983120993999997</v>
      </c>
      <c r="F83" s="81">
        <f t="shared" si="253"/>
        <v>2506.1999999999998</v>
      </c>
      <c r="G83" s="80">
        <f>RCF!C$5</f>
        <v>16.707999999999998</v>
      </c>
      <c r="H83" s="81">
        <f t="shared" si="253"/>
        <v>2506.1999999999998</v>
      </c>
      <c r="I83" s="80">
        <f t="shared" ref="I83" si="303">G83</f>
        <v>16.707999999999998</v>
      </c>
      <c r="J83" s="82">
        <f t="shared" si="267"/>
        <v>2756.8</v>
      </c>
      <c r="K83" s="82">
        <f t="shared" si="267"/>
        <v>3433.5</v>
      </c>
      <c r="L83" s="82">
        <f t="shared" si="267"/>
        <v>3684.1</v>
      </c>
      <c r="M83" s="82">
        <f t="shared" si="267"/>
        <v>4060</v>
      </c>
      <c r="N83" s="82">
        <f t="shared" si="267"/>
        <v>5012.3999999999996</v>
      </c>
      <c r="O83" s="82">
        <f t="shared" si="267"/>
        <v>5388.3</v>
      </c>
      <c r="P83" s="82">
        <f t="shared" si="267"/>
        <v>7518.6</v>
      </c>
      <c r="Q83" s="81">
        <f t="shared" si="268"/>
        <v>2467.5</v>
      </c>
      <c r="R83" s="80">
        <f>RCF!C$7</f>
        <v>16.45</v>
      </c>
      <c r="S83" s="82">
        <f t="shared" si="255"/>
        <v>3207.7</v>
      </c>
      <c r="T83" s="82">
        <f t="shared" si="255"/>
        <v>3701.2</v>
      </c>
      <c r="U83" s="81">
        <f t="shared" si="269"/>
        <v>2428.8000000000002</v>
      </c>
      <c r="V83" s="80">
        <f>RCF!C$9</f>
        <v>16.192</v>
      </c>
      <c r="W83" s="81">
        <f t="shared" si="270"/>
        <v>2428.8000000000002</v>
      </c>
      <c r="X83" s="80">
        <f t="shared" ref="X83" si="304">V83</f>
        <v>16.192</v>
      </c>
      <c r="Y83" s="82">
        <f t="shared" si="258"/>
        <v>2671.6</v>
      </c>
      <c r="Z83" s="82">
        <f t="shared" si="258"/>
        <v>3327.4</v>
      </c>
      <c r="AA83" s="82">
        <f t="shared" si="258"/>
        <v>3934.6</v>
      </c>
      <c r="AB83" s="82">
        <f t="shared" si="258"/>
        <v>3570.3</v>
      </c>
      <c r="AC83" s="82">
        <f t="shared" si="258"/>
        <v>5270.4</v>
      </c>
      <c r="AD83" s="82">
        <f t="shared" si="258"/>
        <v>7286.4</v>
      </c>
      <c r="AE83" s="81">
        <f t="shared" si="272"/>
        <v>2328</v>
      </c>
      <c r="AF83" s="80">
        <f>RCF!C$13</f>
        <v>15.52</v>
      </c>
      <c r="AG83" s="77">
        <f t="shared" si="260"/>
        <v>3841.2</v>
      </c>
      <c r="AH83" s="77">
        <f t="shared" si="260"/>
        <v>4888.8</v>
      </c>
      <c r="AI83" s="77">
        <f t="shared" si="260"/>
        <v>6984</v>
      </c>
      <c r="AJ83" s="81">
        <f t="shared" si="273"/>
        <v>2462</v>
      </c>
      <c r="AK83" s="80">
        <f>RCF!C$25</f>
        <v>16.413333333333334</v>
      </c>
      <c r="AL83" s="81">
        <f t="shared" si="274"/>
        <v>3313</v>
      </c>
      <c r="AM83" s="80">
        <f>RCF!C$59</f>
        <v>22.086666666666666</v>
      </c>
      <c r="AN83" s="81">
        <f t="shared" si="275"/>
        <v>2644.9</v>
      </c>
      <c r="AO83" s="80">
        <f>RCF!C$33</f>
        <v>17.632999999999999</v>
      </c>
      <c r="AP83" s="77">
        <f t="shared" si="263"/>
        <v>3967.3</v>
      </c>
      <c r="AQ83" s="81">
        <f t="shared" si="276"/>
        <v>2614.5</v>
      </c>
      <c r="AR83" s="80">
        <f>RCF!C$35</f>
        <v>17.43</v>
      </c>
      <c r="AS83" s="77">
        <f t="shared" si="264"/>
        <v>3398.8</v>
      </c>
      <c r="AT83" s="77">
        <f t="shared" si="264"/>
        <v>3791</v>
      </c>
      <c r="AU83" s="81">
        <f t="shared" si="277"/>
        <v>2563.5</v>
      </c>
      <c r="AV83" s="80">
        <f>RCF!C$37</f>
        <v>17.09</v>
      </c>
      <c r="AW83" s="81">
        <f t="shared" si="204"/>
        <v>2568.9</v>
      </c>
      <c r="AX83" s="80">
        <f>RCF!C$64</f>
        <v>17.125999999999998</v>
      </c>
      <c r="AY83" s="81">
        <f t="shared" si="278"/>
        <v>2617.5</v>
      </c>
      <c r="AZ83" s="80">
        <f>RCF!C$39</f>
        <v>17.45</v>
      </c>
      <c r="BA83" s="81">
        <f t="shared" si="279"/>
        <v>2501.8000000000002</v>
      </c>
      <c r="BB83" s="80">
        <f>RCF!C$41</f>
        <v>16.678999999999998</v>
      </c>
    </row>
    <row r="84" spans="1:54" s="97" customFormat="1" x14ac:dyDescent="0.2">
      <c r="A84" s="98">
        <v>4986</v>
      </c>
      <c r="B84" s="99" t="s">
        <v>109</v>
      </c>
      <c r="C84" s="72">
        <v>54</v>
      </c>
      <c r="D84" s="72">
        <f t="shared" si="245"/>
        <v>900.7</v>
      </c>
      <c r="E84" s="102">
        <f t="shared" ref="E84" si="305">BB84</f>
        <v>16.678999999999998</v>
      </c>
      <c r="F84" s="81">
        <f t="shared" si="253"/>
        <v>902.2</v>
      </c>
      <c r="G84" s="80">
        <f>RCF!C$5</f>
        <v>16.707999999999998</v>
      </c>
      <c r="H84" s="81">
        <f t="shared" si="253"/>
        <v>902.2</v>
      </c>
      <c r="I84" s="80">
        <f t="shared" ref="I84" si="306">G84</f>
        <v>16.707999999999998</v>
      </c>
      <c r="J84" s="82">
        <f t="shared" si="267"/>
        <v>992.5</v>
      </c>
      <c r="K84" s="82">
        <f t="shared" si="267"/>
        <v>1236.0999999999999</v>
      </c>
      <c r="L84" s="82">
        <f t="shared" si="267"/>
        <v>1326.3</v>
      </c>
      <c r="M84" s="82">
        <f t="shared" si="267"/>
        <v>1461.6</v>
      </c>
      <c r="N84" s="82">
        <f t="shared" si="267"/>
        <v>1804.5</v>
      </c>
      <c r="O84" s="82">
        <f t="shared" si="267"/>
        <v>1939.8</v>
      </c>
      <c r="P84" s="82">
        <f t="shared" si="267"/>
        <v>2706.7</v>
      </c>
      <c r="Q84" s="81">
        <f t="shared" si="268"/>
        <v>888.3</v>
      </c>
      <c r="R84" s="80">
        <f>RCF!C$7</f>
        <v>16.45</v>
      </c>
      <c r="S84" s="82">
        <f t="shared" si="255"/>
        <v>1154.7</v>
      </c>
      <c r="T84" s="82">
        <f t="shared" si="255"/>
        <v>1332.4</v>
      </c>
      <c r="U84" s="81">
        <f t="shared" si="269"/>
        <v>874.3</v>
      </c>
      <c r="V84" s="80">
        <f>RCF!C$9</f>
        <v>16.192</v>
      </c>
      <c r="W84" s="81">
        <f t="shared" si="270"/>
        <v>874.3</v>
      </c>
      <c r="X84" s="80">
        <f t="shared" ref="X84" si="307">V84</f>
        <v>16.192</v>
      </c>
      <c r="Y84" s="82">
        <f t="shared" si="258"/>
        <v>961.7</v>
      </c>
      <c r="Z84" s="82">
        <f t="shared" si="258"/>
        <v>1197.7</v>
      </c>
      <c r="AA84" s="82">
        <f t="shared" si="258"/>
        <v>1416.3</v>
      </c>
      <c r="AB84" s="82">
        <f t="shared" si="258"/>
        <v>1285.2</v>
      </c>
      <c r="AC84" s="82">
        <f t="shared" si="258"/>
        <v>1897.2</v>
      </c>
      <c r="AD84" s="82">
        <f t="shared" si="258"/>
        <v>2622.9</v>
      </c>
      <c r="AE84" s="81">
        <f t="shared" si="272"/>
        <v>838</v>
      </c>
      <c r="AF84" s="80">
        <f>RCF!C$13</f>
        <v>15.52</v>
      </c>
      <c r="AG84" s="77">
        <f t="shared" si="260"/>
        <v>1382.7</v>
      </c>
      <c r="AH84" s="77">
        <f t="shared" si="260"/>
        <v>1759.8</v>
      </c>
      <c r="AI84" s="77">
        <f t="shared" si="260"/>
        <v>2514</v>
      </c>
      <c r="AJ84" s="81">
        <f t="shared" si="273"/>
        <v>886.3</v>
      </c>
      <c r="AK84" s="80">
        <f>RCF!C$25</f>
        <v>16.413333333333334</v>
      </c>
      <c r="AL84" s="81">
        <f t="shared" si="274"/>
        <v>1192.5999999999999</v>
      </c>
      <c r="AM84" s="80">
        <f>RCF!C$59</f>
        <v>22.086666666666666</v>
      </c>
      <c r="AN84" s="81">
        <f t="shared" si="275"/>
        <v>952.1</v>
      </c>
      <c r="AO84" s="80">
        <f>RCF!C$33</f>
        <v>17.632999999999999</v>
      </c>
      <c r="AP84" s="77">
        <f t="shared" si="263"/>
        <v>1428.1</v>
      </c>
      <c r="AQ84" s="81">
        <f t="shared" si="276"/>
        <v>941.2</v>
      </c>
      <c r="AR84" s="80">
        <f>RCF!C$35</f>
        <v>17.43</v>
      </c>
      <c r="AS84" s="77">
        <f t="shared" si="264"/>
        <v>1223.5</v>
      </c>
      <c r="AT84" s="77">
        <f t="shared" si="264"/>
        <v>1364.7</v>
      </c>
      <c r="AU84" s="81">
        <f t="shared" si="277"/>
        <v>922.8</v>
      </c>
      <c r="AV84" s="80">
        <f>RCF!C$37</f>
        <v>17.09</v>
      </c>
      <c r="AW84" s="81">
        <f t="shared" si="204"/>
        <v>924.8</v>
      </c>
      <c r="AX84" s="80">
        <f>RCF!C$64</f>
        <v>17.125999999999998</v>
      </c>
      <c r="AY84" s="81">
        <f t="shared" si="278"/>
        <v>942.3</v>
      </c>
      <c r="AZ84" s="80">
        <f>RCF!C$39</f>
        <v>17.45</v>
      </c>
      <c r="BA84" s="81">
        <f t="shared" si="279"/>
        <v>900.6</v>
      </c>
      <c r="BB84" s="80">
        <f>RCF!C$41</f>
        <v>16.678999999999998</v>
      </c>
    </row>
    <row r="85" spans="1:54" s="97" customFormat="1" x14ac:dyDescent="0.2">
      <c r="A85" s="98">
        <v>4988</v>
      </c>
      <c r="B85" s="79" t="s">
        <v>110</v>
      </c>
      <c r="C85" s="72"/>
      <c r="D85" s="72">
        <f t="shared" si="245"/>
        <v>0</v>
      </c>
      <c r="E85" s="102">
        <v>0</v>
      </c>
      <c r="F85" s="81">
        <f t="shared" si="253"/>
        <v>0</v>
      </c>
      <c r="G85" s="105"/>
      <c r="H85" s="81">
        <f t="shared" si="253"/>
        <v>0</v>
      </c>
      <c r="I85" s="72"/>
      <c r="J85" s="82">
        <f t="shared" ref="J85:P86" si="308">ROUND($C85*$I85*J$6,1)</f>
        <v>0</v>
      </c>
      <c r="K85" s="82">
        <f t="shared" si="308"/>
        <v>0</v>
      </c>
      <c r="L85" s="82">
        <f t="shared" si="308"/>
        <v>0</v>
      </c>
      <c r="M85" s="82">
        <f t="shared" si="308"/>
        <v>0</v>
      </c>
      <c r="N85" s="82">
        <f t="shared" si="308"/>
        <v>0</v>
      </c>
      <c r="O85" s="82">
        <f t="shared" si="308"/>
        <v>0</v>
      </c>
      <c r="P85" s="82">
        <f t="shared" si="308"/>
        <v>0</v>
      </c>
      <c r="Q85" s="81">
        <f t="shared" ref="Q85" si="309">ROUNDDOWN($C85*R85,1)</f>
        <v>0</v>
      </c>
      <c r="R85" s="71"/>
      <c r="S85" s="82">
        <f t="shared" si="255"/>
        <v>0</v>
      </c>
      <c r="T85" s="82">
        <f t="shared" si="255"/>
        <v>0</v>
      </c>
      <c r="U85" s="81">
        <f t="shared" ref="U85" si="310">ROUNDDOWN($C85*V85,1)</f>
        <v>0</v>
      </c>
      <c r="V85" s="71"/>
      <c r="W85" s="81">
        <f t="shared" ref="W85" si="311">ROUNDDOWN($C85*X85,1)</f>
        <v>0</v>
      </c>
      <c r="X85" s="71"/>
      <c r="Y85" s="82">
        <f t="shared" si="258"/>
        <v>0</v>
      </c>
      <c r="Z85" s="82">
        <f t="shared" si="258"/>
        <v>0</v>
      </c>
      <c r="AA85" s="82">
        <f t="shared" si="258"/>
        <v>0</v>
      </c>
      <c r="AB85" s="82">
        <f t="shared" si="258"/>
        <v>0</v>
      </c>
      <c r="AC85" s="82">
        <f t="shared" si="258"/>
        <v>0</v>
      </c>
      <c r="AD85" s="82">
        <f t="shared" si="258"/>
        <v>0</v>
      </c>
      <c r="AE85" s="81">
        <f t="shared" ref="AE85" si="312">ROUNDDOWN($C85*AF85,1)</f>
        <v>0</v>
      </c>
      <c r="AF85" s="71"/>
      <c r="AG85" s="77">
        <f t="shared" si="260"/>
        <v>0</v>
      </c>
      <c r="AH85" s="77">
        <f t="shared" si="260"/>
        <v>0</v>
      </c>
      <c r="AI85" s="77">
        <f t="shared" si="260"/>
        <v>0</v>
      </c>
      <c r="AJ85" s="81">
        <f t="shared" ref="AJ85" si="313">ROUNDDOWN($C85*AK85,1)</f>
        <v>0</v>
      </c>
      <c r="AK85" s="80"/>
      <c r="AL85" s="81">
        <f t="shared" ref="AL85" si="314">ROUNDDOWN($C85*AM85,1)</f>
        <v>0</v>
      </c>
      <c r="AM85" s="80"/>
      <c r="AN85" s="81">
        <f t="shared" ref="AN85" si="315">ROUNDDOWN($C85*AO85,1)</f>
        <v>0</v>
      </c>
      <c r="AO85" s="80"/>
      <c r="AP85" s="77">
        <f t="shared" si="263"/>
        <v>0</v>
      </c>
      <c r="AQ85" s="81">
        <f t="shared" ref="AQ85" si="316">ROUNDDOWN($C85*AR85,1)</f>
        <v>0</v>
      </c>
      <c r="AR85" s="80"/>
      <c r="AS85" s="77">
        <f t="shared" si="264"/>
        <v>0</v>
      </c>
      <c r="AT85" s="77">
        <f t="shared" si="264"/>
        <v>0</v>
      </c>
      <c r="AU85" s="81">
        <f t="shared" ref="AU85" si="317">ROUNDDOWN($C85*AV85,1)</f>
        <v>0</v>
      </c>
      <c r="AV85" s="80"/>
      <c r="AW85" s="81"/>
      <c r="AX85" s="80"/>
      <c r="AY85" s="81">
        <f t="shared" ref="AY85" si="318">ROUNDDOWN($C85*AZ85,1)</f>
        <v>0</v>
      </c>
      <c r="AZ85" s="80"/>
      <c r="BA85" s="81">
        <f t="shared" ref="BA85" si="319">ROUNDDOWN($C85*BB85,1)</f>
        <v>0</v>
      </c>
      <c r="BB85" s="80">
        <v>0</v>
      </c>
    </row>
    <row r="86" spans="1:54" s="97" customFormat="1" x14ac:dyDescent="0.2">
      <c r="A86" s="98">
        <v>4989</v>
      </c>
      <c r="B86" s="79" t="s">
        <v>111</v>
      </c>
      <c r="C86" s="72"/>
      <c r="D86" s="72">
        <f t="shared" si="245"/>
        <v>0</v>
      </c>
      <c r="E86" s="102">
        <v>0</v>
      </c>
      <c r="F86" s="81">
        <f t="shared" si="253"/>
        <v>0</v>
      </c>
      <c r="G86" s="105"/>
      <c r="H86" s="81">
        <f t="shared" si="253"/>
        <v>0</v>
      </c>
      <c r="I86" s="72"/>
      <c r="J86" s="82">
        <f t="shared" si="308"/>
        <v>0</v>
      </c>
      <c r="K86" s="82">
        <f t="shared" si="308"/>
        <v>0</v>
      </c>
      <c r="L86" s="82">
        <f t="shared" si="308"/>
        <v>0</v>
      </c>
      <c r="M86" s="82">
        <f t="shared" si="308"/>
        <v>0</v>
      </c>
      <c r="N86" s="82">
        <f t="shared" si="308"/>
        <v>0</v>
      </c>
      <c r="O86" s="82">
        <f t="shared" si="308"/>
        <v>0</v>
      </c>
      <c r="P86" s="82">
        <f t="shared" si="308"/>
        <v>0</v>
      </c>
      <c r="Q86" s="81">
        <f t="shared" ref="Q86" si="320">ROUNDDOWN($C86*R86,1)</f>
        <v>0</v>
      </c>
      <c r="R86" s="71"/>
      <c r="S86" s="82">
        <f t="shared" si="255"/>
        <v>0</v>
      </c>
      <c r="T86" s="82">
        <f t="shared" si="255"/>
        <v>0</v>
      </c>
      <c r="U86" s="81">
        <f t="shared" ref="U86" si="321">ROUNDDOWN($C86*V86,1)</f>
        <v>0</v>
      </c>
      <c r="V86" s="71"/>
      <c r="W86" s="81">
        <f t="shared" ref="W86" si="322">ROUNDDOWN($C86*X86,1)</f>
        <v>0</v>
      </c>
      <c r="X86" s="71"/>
      <c r="Y86" s="82">
        <f t="shared" si="258"/>
        <v>0</v>
      </c>
      <c r="Z86" s="82">
        <f t="shared" si="258"/>
        <v>0</v>
      </c>
      <c r="AA86" s="82">
        <f t="shared" si="258"/>
        <v>0</v>
      </c>
      <c r="AB86" s="82">
        <f t="shared" si="258"/>
        <v>0</v>
      </c>
      <c r="AC86" s="82">
        <f t="shared" si="258"/>
        <v>0</v>
      </c>
      <c r="AD86" s="82">
        <f t="shared" si="258"/>
        <v>0</v>
      </c>
      <c r="AE86" s="81">
        <f t="shared" ref="AE86" si="323">ROUNDDOWN($C86*AF86,1)</f>
        <v>0</v>
      </c>
      <c r="AF86" s="71"/>
      <c r="AG86" s="77">
        <f t="shared" si="260"/>
        <v>0</v>
      </c>
      <c r="AH86" s="77">
        <f t="shared" si="260"/>
        <v>0</v>
      </c>
      <c r="AI86" s="77">
        <f t="shared" si="260"/>
        <v>0</v>
      </c>
      <c r="AJ86" s="81">
        <f t="shared" ref="AJ86" si="324">ROUNDDOWN($C86*AK86,1)</f>
        <v>0</v>
      </c>
      <c r="AK86" s="80"/>
      <c r="AL86" s="81">
        <f t="shared" ref="AL86" si="325">ROUNDDOWN($C86*AM86,1)</f>
        <v>0</v>
      </c>
      <c r="AM86" s="80"/>
      <c r="AN86" s="81">
        <f t="shared" ref="AN86" si="326">ROUNDDOWN($C86*AO86,1)</f>
        <v>0</v>
      </c>
      <c r="AO86" s="80"/>
      <c r="AP86" s="77">
        <f t="shared" si="263"/>
        <v>0</v>
      </c>
      <c r="AQ86" s="81">
        <f t="shared" ref="AQ86" si="327">ROUNDDOWN($C86*AR86,1)</f>
        <v>0</v>
      </c>
      <c r="AR86" s="80"/>
      <c r="AS86" s="77">
        <f t="shared" si="264"/>
        <v>0</v>
      </c>
      <c r="AT86" s="77">
        <f t="shared" si="264"/>
        <v>0</v>
      </c>
      <c r="AU86" s="81">
        <f t="shared" ref="AU86" si="328">ROUNDDOWN($C86*AV86,1)</f>
        <v>0</v>
      </c>
      <c r="AV86" s="80"/>
      <c r="AW86" s="81"/>
      <c r="AX86" s="80"/>
      <c r="AY86" s="81">
        <f t="shared" ref="AY86" si="329">ROUNDDOWN($C86*AZ86,1)</f>
        <v>0</v>
      </c>
      <c r="AZ86" s="80"/>
      <c r="BA86" s="81">
        <f t="shared" ref="BA86" si="330">ROUNDDOWN($C86*BB86,1)</f>
        <v>0</v>
      </c>
      <c r="BB86" s="80">
        <v>0</v>
      </c>
    </row>
    <row r="87" spans="1:54" s="147" customFormat="1" x14ac:dyDescent="0.2">
      <c r="A87" s="148" t="s">
        <v>205</v>
      </c>
      <c r="B87" s="143" t="s">
        <v>209</v>
      </c>
      <c r="C87" s="144">
        <v>0</v>
      </c>
      <c r="D87" s="144">
        <v>0</v>
      </c>
      <c r="E87" s="144">
        <v>0</v>
      </c>
      <c r="F87" s="144"/>
      <c r="G87" s="144"/>
      <c r="H87" s="145">
        <v>0</v>
      </c>
      <c r="I87" s="144">
        <v>0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44">
        <v>0</v>
      </c>
      <c r="R87" s="144">
        <v>0</v>
      </c>
      <c r="S87" s="146">
        <v>0</v>
      </c>
      <c r="T87" s="146">
        <v>0</v>
      </c>
      <c r="U87" s="144">
        <v>0</v>
      </c>
      <c r="V87" s="144">
        <v>0</v>
      </c>
      <c r="W87" s="144">
        <v>0</v>
      </c>
      <c r="X87" s="144">
        <v>0</v>
      </c>
      <c r="Y87" s="146">
        <v>28056</v>
      </c>
      <c r="Z87" s="146">
        <v>0</v>
      </c>
      <c r="AA87" s="146">
        <v>0</v>
      </c>
      <c r="AB87" s="146">
        <v>0</v>
      </c>
      <c r="AC87" s="146">
        <v>0</v>
      </c>
      <c r="AD87" s="146">
        <v>0</v>
      </c>
      <c r="AE87" s="144">
        <v>0</v>
      </c>
      <c r="AF87" s="144">
        <v>0</v>
      </c>
      <c r="AG87" s="146">
        <v>0</v>
      </c>
      <c r="AH87" s="146">
        <v>0</v>
      </c>
      <c r="AI87" s="146">
        <v>0</v>
      </c>
      <c r="AJ87" s="144">
        <v>0</v>
      </c>
      <c r="AK87" s="145">
        <v>0</v>
      </c>
      <c r="AL87" s="144">
        <v>0</v>
      </c>
      <c r="AM87" s="145">
        <v>0</v>
      </c>
      <c r="AN87" s="144"/>
      <c r="AO87" s="145">
        <v>0</v>
      </c>
      <c r="AP87" s="146">
        <v>0</v>
      </c>
      <c r="AQ87" s="144">
        <v>0</v>
      </c>
      <c r="AR87" s="145">
        <v>0</v>
      </c>
      <c r="AS87" s="146">
        <v>0</v>
      </c>
      <c r="AT87" s="146">
        <v>0</v>
      </c>
      <c r="AU87" s="144">
        <v>0</v>
      </c>
      <c r="AV87" s="145">
        <v>0</v>
      </c>
      <c r="AW87" s="145"/>
      <c r="AX87" s="145"/>
      <c r="AY87" s="144">
        <v>0</v>
      </c>
      <c r="AZ87" s="145">
        <v>0</v>
      </c>
      <c r="BA87" s="144">
        <v>36737.120000000003</v>
      </c>
      <c r="BB87" s="145">
        <v>0</v>
      </c>
    </row>
    <row r="88" spans="1:54" s="147" customFormat="1" x14ac:dyDescent="0.2">
      <c r="A88" s="148" t="s">
        <v>206</v>
      </c>
      <c r="B88" s="143" t="s">
        <v>210</v>
      </c>
      <c r="C88" s="144">
        <v>0</v>
      </c>
      <c r="D88" s="144">
        <v>0</v>
      </c>
      <c r="E88" s="144">
        <v>0</v>
      </c>
      <c r="F88" s="144"/>
      <c r="G88" s="144"/>
      <c r="H88" s="145">
        <v>0</v>
      </c>
      <c r="I88" s="144">
        <v>0</v>
      </c>
      <c r="J88" s="146">
        <v>0</v>
      </c>
      <c r="K88" s="146">
        <v>0</v>
      </c>
      <c r="L88" s="146">
        <v>0</v>
      </c>
      <c r="M88" s="146">
        <v>0</v>
      </c>
      <c r="N88" s="146">
        <v>0</v>
      </c>
      <c r="O88" s="146">
        <v>0</v>
      </c>
      <c r="P88" s="146">
        <v>0</v>
      </c>
      <c r="Q88" s="144">
        <v>0</v>
      </c>
      <c r="R88" s="144">
        <v>0</v>
      </c>
      <c r="S88" s="146">
        <v>0</v>
      </c>
      <c r="T88" s="146">
        <v>0</v>
      </c>
      <c r="U88" s="144">
        <v>0</v>
      </c>
      <c r="V88" s="144">
        <v>0</v>
      </c>
      <c r="W88" s="144">
        <v>0</v>
      </c>
      <c r="X88" s="144">
        <v>0</v>
      </c>
      <c r="Y88" s="146">
        <v>28056</v>
      </c>
      <c r="Z88" s="146">
        <v>0</v>
      </c>
      <c r="AA88" s="146">
        <v>0</v>
      </c>
      <c r="AB88" s="146">
        <v>0</v>
      </c>
      <c r="AC88" s="146">
        <v>0</v>
      </c>
      <c r="AD88" s="146">
        <v>0</v>
      </c>
      <c r="AE88" s="144">
        <v>0</v>
      </c>
      <c r="AF88" s="144">
        <v>0</v>
      </c>
      <c r="AG88" s="146">
        <v>0</v>
      </c>
      <c r="AH88" s="146">
        <v>0</v>
      </c>
      <c r="AI88" s="146">
        <v>0</v>
      </c>
      <c r="AJ88" s="144">
        <v>0</v>
      </c>
      <c r="AK88" s="145">
        <v>0</v>
      </c>
      <c r="AL88" s="144">
        <v>0</v>
      </c>
      <c r="AM88" s="145">
        <v>0</v>
      </c>
      <c r="AN88" s="144"/>
      <c r="AO88" s="145">
        <v>0</v>
      </c>
      <c r="AP88" s="146">
        <v>0</v>
      </c>
      <c r="AQ88" s="144">
        <v>0</v>
      </c>
      <c r="AR88" s="145">
        <v>0</v>
      </c>
      <c r="AS88" s="146">
        <v>0</v>
      </c>
      <c r="AT88" s="146">
        <v>0</v>
      </c>
      <c r="AU88" s="144">
        <v>0</v>
      </c>
      <c r="AV88" s="145">
        <v>0</v>
      </c>
      <c r="AW88" s="145"/>
      <c r="AX88" s="145"/>
      <c r="AY88" s="144">
        <v>0</v>
      </c>
      <c r="AZ88" s="145">
        <v>0</v>
      </c>
      <c r="BA88" s="144">
        <v>36737.120000000003</v>
      </c>
      <c r="BB88" s="145">
        <v>0</v>
      </c>
    </row>
    <row r="89" spans="1:54" s="147" customFormat="1" x14ac:dyDescent="0.2">
      <c r="A89" s="148" t="s">
        <v>207</v>
      </c>
      <c r="B89" s="143" t="s">
        <v>211</v>
      </c>
      <c r="C89" s="144">
        <v>0</v>
      </c>
      <c r="D89" s="144">
        <v>0</v>
      </c>
      <c r="E89" s="144">
        <v>0</v>
      </c>
      <c r="F89" s="144"/>
      <c r="G89" s="144"/>
      <c r="H89" s="145">
        <v>0</v>
      </c>
      <c r="I89" s="144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46">
        <v>0</v>
      </c>
      <c r="P89" s="146">
        <v>0</v>
      </c>
      <c r="Q89" s="144">
        <v>0</v>
      </c>
      <c r="R89" s="144">
        <v>0</v>
      </c>
      <c r="S89" s="146">
        <v>0</v>
      </c>
      <c r="T89" s="146">
        <v>0</v>
      </c>
      <c r="U89" s="144">
        <v>0</v>
      </c>
      <c r="V89" s="144">
        <v>0</v>
      </c>
      <c r="W89" s="144">
        <v>0</v>
      </c>
      <c r="X89" s="144">
        <v>0</v>
      </c>
      <c r="Y89" s="146">
        <v>0</v>
      </c>
      <c r="Z89" s="146">
        <v>0</v>
      </c>
      <c r="AA89" s="146">
        <v>0</v>
      </c>
      <c r="AB89" s="146">
        <v>0</v>
      </c>
      <c r="AC89" s="146">
        <v>0</v>
      </c>
      <c r="AD89" s="146">
        <v>0</v>
      </c>
      <c r="AE89" s="144">
        <v>0</v>
      </c>
      <c r="AF89" s="144">
        <v>0</v>
      </c>
      <c r="AG89" s="146">
        <v>0</v>
      </c>
      <c r="AH89" s="146">
        <v>0</v>
      </c>
      <c r="AI89" s="146">
        <v>0</v>
      </c>
      <c r="AJ89" s="144">
        <v>0</v>
      </c>
      <c r="AK89" s="145">
        <v>0</v>
      </c>
      <c r="AL89" s="144">
        <v>0</v>
      </c>
      <c r="AM89" s="145">
        <v>0</v>
      </c>
      <c r="AN89" s="144"/>
      <c r="AO89" s="145">
        <v>0</v>
      </c>
      <c r="AP89" s="146">
        <v>0</v>
      </c>
      <c r="AQ89" s="144">
        <v>0</v>
      </c>
      <c r="AR89" s="145">
        <v>0</v>
      </c>
      <c r="AS89" s="146">
        <v>0</v>
      </c>
      <c r="AT89" s="146">
        <v>0</v>
      </c>
      <c r="AU89" s="144">
        <v>0</v>
      </c>
      <c r="AV89" s="145">
        <v>0</v>
      </c>
      <c r="AW89" s="145"/>
      <c r="AX89" s="145"/>
      <c r="AY89" s="144">
        <v>0</v>
      </c>
      <c r="AZ89" s="145">
        <v>0</v>
      </c>
      <c r="BA89" s="144">
        <v>39863.22</v>
      </c>
      <c r="BB89" s="145">
        <v>0</v>
      </c>
    </row>
    <row r="90" spans="1:54" s="147" customFormat="1" x14ac:dyDescent="0.2">
      <c r="A90" s="148" t="s">
        <v>208</v>
      </c>
      <c r="B90" s="143" t="s">
        <v>212</v>
      </c>
      <c r="C90" s="144">
        <v>0</v>
      </c>
      <c r="D90" s="144">
        <v>0</v>
      </c>
      <c r="E90" s="144">
        <v>0</v>
      </c>
      <c r="F90" s="144"/>
      <c r="G90" s="144"/>
      <c r="H90" s="145">
        <v>0</v>
      </c>
      <c r="I90" s="144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146">
        <v>0</v>
      </c>
      <c r="P90" s="146">
        <v>0</v>
      </c>
      <c r="Q90" s="144">
        <v>0</v>
      </c>
      <c r="R90" s="144">
        <v>0</v>
      </c>
      <c r="S90" s="146">
        <v>0</v>
      </c>
      <c r="T90" s="146">
        <v>0</v>
      </c>
      <c r="U90" s="144">
        <v>0</v>
      </c>
      <c r="V90" s="144">
        <v>0</v>
      </c>
      <c r="W90" s="144">
        <v>0</v>
      </c>
      <c r="X90" s="144">
        <v>0</v>
      </c>
      <c r="Y90" s="146">
        <v>0</v>
      </c>
      <c r="Z90" s="146">
        <v>0</v>
      </c>
      <c r="AA90" s="146">
        <v>0</v>
      </c>
      <c r="AB90" s="146">
        <v>0</v>
      </c>
      <c r="AC90" s="146">
        <v>0</v>
      </c>
      <c r="AD90" s="146">
        <v>0</v>
      </c>
      <c r="AE90" s="144">
        <v>0</v>
      </c>
      <c r="AF90" s="144">
        <v>0</v>
      </c>
      <c r="AG90" s="146">
        <v>0</v>
      </c>
      <c r="AH90" s="146">
        <v>0</v>
      </c>
      <c r="AI90" s="146">
        <v>0</v>
      </c>
      <c r="AJ90" s="144">
        <v>0</v>
      </c>
      <c r="AK90" s="145">
        <v>0</v>
      </c>
      <c r="AL90" s="144">
        <v>0</v>
      </c>
      <c r="AM90" s="145">
        <v>0</v>
      </c>
      <c r="AN90" s="144"/>
      <c r="AO90" s="145">
        <v>0</v>
      </c>
      <c r="AP90" s="146">
        <v>0</v>
      </c>
      <c r="AQ90" s="144">
        <v>0</v>
      </c>
      <c r="AR90" s="145">
        <v>0</v>
      </c>
      <c r="AS90" s="146">
        <v>0</v>
      </c>
      <c r="AT90" s="146">
        <v>0</v>
      </c>
      <c r="AU90" s="144">
        <v>0</v>
      </c>
      <c r="AV90" s="145">
        <v>0</v>
      </c>
      <c r="AW90" s="145"/>
      <c r="AX90" s="145"/>
      <c r="AY90" s="144">
        <v>0</v>
      </c>
      <c r="AZ90" s="145">
        <v>0</v>
      </c>
      <c r="BA90" s="144">
        <v>39863.22</v>
      </c>
      <c r="BB90" s="145">
        <v>0</v>
      </c>
    </row>
    <row r="91" spans="1:54" s="97" customFormat="1" x14ac:dyDescent="0.2">
      <c r="A91" s="106"/>
      <c r="B91" s="107"/>
      <c r="C91" s="108"/>
      <c r="D91" s="108"/>
      <c r="E91" s="109"/>
      <c r="F91" s="150"/>
      <c r="G91" s="109"/>
      <c r="H91" s="110"/>
      <c r="I91" s="108"/>
      <c r="J91" s="113"/>
      <c r="K91" s="113"/>
      <c r="L91" s="113"/>
      <c r="M91" s="113"/>
      <c r="N91" s="113"/>
      <c r="O91" s="113"/>
      <c r="P91" s="113"/>
      <c r="Q91" s="108"/>
      <c r="R91" s="111"/>
      <c r="S91" s="113"/>
      <c r="T91" s="113"/>
      <c r="U91" s="108"/>
      <c r="V91" s="111"/>
      <c r="W91" s="108"/>
      <c r="X91" s="111"/>
      <c r="Y91" s="113"/>
      <c r="Z91" s="113"/>
      <c r="AA91" s="113"/>
      <c r="AB91" s="113"/>
      <c r="AC91" s="113"/>
      <c r="AD91" s="113"/>
      <c r="AE91" s="108"/>
      <c r="AF91" s="111"/>
      <c r="AG91" s="114"/>
      <c r="AH91" s="114"/>
      <c r="AI91" s="114"/>
      <c r="AJ91" s="108"/>
      <c r="AK91" s="112"/>
      <c r="AL91" s="108"/>
      <c r="AM91" s="112"/>
      <c r="AN91" s="108"/>
      <c r="AO91" s="112"/>
      <c r="AP91" s="114"/>
      <c r="AQ91" s="108"/>
      <c r="AR91" s="112"/>
      <c r="AS91" s="114"/>
      <c r="AT91" s="114"/>
      <c r="AU91" s="108"/>
      <c r="AV91" s="112"/>
      <c r="AW91" s="110"/>
      <c r="AX91" s="112"/>
      <c r="AY91" s="108"/>
      <c r="AZ91" s="112"/>
      <c r="BA91" s="108"/>
      <c r="BB91" s="112"/>
    </row>
    <row r="92" spans="1:54" x14ac:dyDescent="0.2">
      <c r="A92" s="48"/>
      <c r="B92" s="49" t="s">
        <v>140</v>
      </c>
      <c r="C92" s="50"/>
      <c r="D92" s="51"/>
      <c r="E92" s="52"/>
      <c r="F92" s="51"/>
      <c r="G92" s="52"/>
      <c r="H92" s="51"/>
      <c r="I92" s="52"/>
      <c r="J92" s="52"/>
      <c r="K92" s="52"/>
      <c r="L92" s="52"/>
      <c r="M92" s="52"/>
      <c r="N92" s="52"/>
      <c r="O92" s="52"/>
      <c r="P92" s="52"/>
      <c r="Q92" s="53"/>
      <c r="R92" s="52"/>
      <c r="S92" s="52"/>
      <c r="T92" s="52"/>
      <c r="U92" s="53"/>
      <c r="V92" s="52"/>
      <c r="W92" s="53"/>
      <c r="X92" s="52"/>
      <c r="Y92" s="54"/>
      <c r="Z92" s="54"/>
      <c r="AA92" s="55"/>
      <c r="AB92" s="55"/>
      <c r="AC92" s="55"/>
      <c r="AD92" s="55"/>
      <c r="AE92" s="53"/>
      <c r="AF92" s="52"/>
      <c r="AG92" s="51"/>
      <c r="AH92" s="51"/>
      <c r="AI92" s="56"/>
      <c r="AJ92" s="51"/>
      <c r="AK92" s="51"/>
      <c r="AL92" s="51"/>
      <c r="AM92" s="51"/>
      <c r="AN92" s="51"/>
      <c r="AO92" s="51"/>
      <c r="AP92" s="56"/>
      <c r="AQ92" s="52"/>
      <c r="AR92" s="52"/>
      <c r="AS92" s="51"/>
      <c r="AT92" s="56"/>
      <c r="AU92" s="52"/>
      <c r="AV92" s="52"/>
      <c r="AW92" s="51"/>
      <c r="AX92" s="52"/>
      <c r="AY92" s="52"/>
      <c r="AZ92" s="52"/>
      <c r="BA92" s="52"/>
      <c r="BB92" s="152"/>
    </row>
    <row r="93" spans="1:54" s="97" customFormat="1" x14ac:dyDescent="0.2">
      <c r="A93" s="106"/>
      <c r="B93" s="107"/>
      <c r="C93" s="108"/>
      <c r="D93" s="72"/>
      <c r="E93" s="80"/>
      <c r="F93" s="110"/>
      <c r="G93" s="112"/>
      <c r="H93" s="110"/>
      <c r="I93" s="108"/>
      <c r="J93" s="113"/>
      <c r="K93" s="113"/>
      <c r="L93" s="113"/>
      <c r="M93" s="113"/>
      <c r="N93" s="113"/>
      <c r="O93" s="113"/>
      <c r="P93" s="113"/>
      <c r="Q93" s="108"/>
      <c r="R93" s="111"/>
      <c r="S93" s="113"/>
      <c r="T93" s="113"/>
      <c r="U93" s="108"/>
      <c r="V93" s="111"/>
      <c r="W93" s="108"/>
      <c r="X93" s="111"/>
      <c r="Y93" s="113"/>
      <c r="Z93" s="113"/>
      <c r="AA93" s="113"/>
      <c r="AB93" s="113"/>
      <c r="AC93" s="113"/>
      <c r="AD93" s="113"/>
      <c r="AE93" s="108"/>
      <c r="AF93" s="111"/>
      <c r="AG93" s="114"/>
      <c r="AH93" s="114"/>
      <c r="AI93" s="114"/>
      <c r="AJ93" s="108"/>
      <c r="AK93" s="112"/>
      <c r="AL93" s="108"/>
      <c r="AM93" s="112"/>
      <c r="AN93" s="108"/>
      <c r="AO93" s="112"/>
      <c r="AP93" s="114"/>
      <c r="AQ93" s="108"/>
      <c r="AR93" s="112"/>
      <c r="AS93" s="114"/>
      <c r="AT93" s="114"/>
      <c r="AU93" s="108"/>
      <c r="AV93" s="112"/>
      <c r="AW93" s="110"/>
      <c r="AX93" s="112"/>
      <c r="AY93" s="108"/>
      <c r="AZ93" s="112"/>
      <c r="BA93" s="108"/>
      <c r="BB93" s="112"/>
    </row>
    <row r="94" spans="1:54" s="97" customFormat="1" ht="38.25" x14ac:dyDescent="0.2">
      <c r="A94" s="106">
        <v>3013</v>
      </c>
      <c r="B94" s="107" t="s">
        <v>135</v>
      </c>
      <c r="C94" s="108">
        <v>19.600000000000001</v>
      </c>
      <c r="D94" s="153">
        <f t="shared" ref="D94" si="331">ROUND(E94*C94,1)</f>
        <v>1254.0999999999999</v>
      </c>
      <c r="E94" s="154">
        <f>RCF!C$43</f>
        <v>63.983120993999997</v>
      </c>
      <c r="F94" s="155">
        <f t="shared" ref="F94" si="332">ROUNDDOWN($C94*G94,1)</f>
        <v>327.39999999999998</v>
      </c>
      <c r="G94" s="154">
        <f>RCF!C$5</f>
        <v>16.707999999999998</v>
      </c>
      <c r="H94" s="155">
        <f t="shared" ref="H94" si="333">ROUNDDOWN($C94*I94,1)</f>
        <v>327.39999999999998</v>
      </c>
      <c r="I94" s="154">
        <f t="shared" ref="I94:I98" si="334">G94</f>
        <v>16.707999999999998</v>
      </c>
      <c r="J94" s="156">
        <f t="shared" ref="J94:P98" si="335">ROUND($C94*$I94*J$6,1)</f>
        <v>360.2</v>
      </c>
      <c r="K94" s="156">
        <f t="shared" si="335"/>
        <v>448.6</v>
      </c>
      <c r="L94" s="156">
        <f t="shared" si="335"/>
        <v>481.4</v>
      </c>
      <c r="M94" s="156">
        <f t="shared" si="335"/>
        <v>530.5</v>
      </c>
      <c r="N94" s="156">
        <f t="shared" si="335"/>
        <v>655</v>
      </c>
      <c r="O94" s="156">
        <f t="shared" si="335"/>
        <v>704.1</v>
      </c>
      <c r="P94" s="156">
        <f t="shared" si="335"/>
        <v>982.4</v>
      </c>
      <c r="Q94" s="155">
        <f t="shared" ref="Q94:Q98" si="336">ROUNDDOWN($C94*R94,1)</f>
        <v>322.39999999999998</v>
      </c>
      <c r="R94" s="154">
        <f>RCF!C$7</f>
        <v>16.45</v>
      </c>
      <c r="S94" s="156">
        <f t="shared" ref="S94:T98" si="337">ROUNDDOWN($Q94*S$6,1)</f>
        <v>419.1</v>
      </c>
      <c r="T94" s="156">
        <f t="shared" si="337"/>
        <v>483.6</v>
      </c>
      <c r="U94" s="155">
        <f t="shared" ref="U94:U98" si="338">ROUNDDOWN($C94*V94,1)</f>
        <v>317.3</v>
      </c>
      <c r="V94" s="154">
        <f>RCF!C$9</f>
        <v>16.192</v>
      </c>
      <c r="W94" s="155">
        <f t="shared" ref="W94:W98" si="339">ROUNDDOWN($C94*X94,1)</f>
        <v>317.3</v>
      </c>
      <c r="X94" s="154">
        <f t="shared" ref="X94:X98" si="340">V94</f>
        <v>16.192</v>
      </c>
      <c r="Y94" s="156">
        <f t="shared" ref="Y94:AD98" si="341">ROUNDDOWN($W94*Y$6,1)</f>
        <v>349</v>
      </c>
      <c r="Z94" s="156">
        <f t="shared" si="341"/>
        <v>434.7</v>
      </c>
      <c r="AA94" s="156">
        <f t="shared" si="341"/>
        <v>514</v>
      </c>
      <c r="AB94" s="156">
        <f t="shared" si="341"/>
        <v>466.4</v>
      </c>
      <c r="AC94" s="156">
        <f t="shared" si="341"/>
        <v>688.5</v>
      </c>
      <c r="AD94" s="156">
        <f t="shared" si="341"/>
        <v>951.9</v>
      </c>
      <c r="AE94" s="155">
        <f t="shared" ref="AE94:AE98" si="342">ROUNDDOWN($C94*AF94,1)</f>
        <v>304.10000000000002</v>
      </c>
      <c r="AF94" s="154">
        <f>RCF!C$13</f>
        <v>15.52</v>
      </c>
      <c r="AG94" s="157">
        <f t="shared" ref="AG94:AI98" si="343">ROUND($AE94*AG$6,1)</f>
        <v>501.8</v>
      </c>
      <c r="AH94" s="157">
        <f t="shared" si="343"/>
        <v>638.6</v>
      </c>
      <c r="AI94" s="157">
        <f t="shared" si="343"/>
        <v>912.3</v>
      </c>
      <c r="AJ94" s="155">
        <f t="shared" ref="AJ94:AJ98" si="344">ROUNDDOWN($C94*AK94,1)</f>
        <v>321.7</v>
      </c>
      <c r="AK94" s="154">
        <f>RCF!C$25</f>
        <v>16.413333333333334</v>
      </c>
      <c r="AL94" s="155">
        <f t="shared" ref="AL94:AL98" si="345">ROUNDDOWN($C94*AM94,1)</f>
        <v>432.8</v>
      </c>
      <c r="AM94" s="154">
        <f>RCF!C$59</f>
        <v>22.086666666666666</v>
      </c>
      <c r="AN94" s="155">
        <f t="shared" ref="AN94:AN98" si="346">ROUNDDOWN($C94*AO94,1)</f>
        <v>345.6</v>
      </c>
      <c r="AO94" s="154">
        <f>RCF!C$33</f>
        <v>17.632999999999999</v>
      </c>
      <c r="AP94" s="157">
        <f t="shared" ref="AP94:AP98" si="347">ROUNDDOWN($AN94*AP$6,1)</f>
        <v>518.4</v>
      </c>
      <c r="AQ94" s="155">
        <f t="shared" ref="AQ94:AQ98" si="348">ROUNDDOWN($C94*AR94,1)</f>
        <v>341.6</v>
      </c>
      <c r="AR94" s="154">
        <f>RCF!C$35</f>
        <v>17.43</v>
      </c>
      <c r="AS94" s="157">
        <f t="shared" ref="AS94:AT98" si="349">ROUNDDOWN($AQ94*AS$6,1)</f>
        <v>444</v>
      </c>
      <c r="AT94" s="157">
        <f t="shared" si="349"/>
        <v>495.3</v>
      </c>
      <c r="AU94" s="81">
        <f t="shared" ref="AU94:AU98" si="350">ROUNDDOWN($C94*AV94,1)</f>
        <v>334.9</v>
      </c>
      <c r="AV94" s="80">
        <f>RCF!C$37</f>
        <v>17.09</v>
      </c>
      <c r="AW94" s="81">
        <f t="shared" ref="AW94:AW98" si="351">ROUNDDOWN(AX94*C94,1)</f>
        <v>335.6</v>
      </c>
      <c r="AX94" s="80">
        <f>RCF!C$64</f>
        <v>17.125999999999998</v>
      </c>
      <c r="AY94" s="155">
        <f t="shared" ref="AY94:AY98" si="352">ROUNDDOWN($C94*AZ94,1)</f>
        <v>342</v>
      </c>
      <c r="AZ94" s="154">
        <f>RCF!C$39</f>
        <v>17.45</v>
      </c>
      <c r="BA94" s="155">
        <f t="shared" ref="BA94:BA98" si="353">ROUNDDOWN($C94*BB94,1)</f>
        <v>326.89999999999998</v>
      </c>
      <c r="BB94" s="154">
        <f>RCF!C$41</f>
        <v>16.678999999999998</v>
      </c>
    </row>
    <row r="95" spans="1:54" s="97" customFormat="1" ht="38.25" x14ac:dyDescent="0.2">
      <c r="A95" s="106">
        <v>3038</v>
      </c>
      <c r="B95" s="107" t="s">
        <v>136</v>
      </c>
      <c r="C95" s="108">
        <v>45</v>
      </c>
      <c r="D95" s="153">
        <f t="shared" ref="D95:D98" si="354">ROUND(E95*C95,1)</f>
        <v>2879.2</v>
      </c>
      <c r="E95" s="154">
        <f>RCF!C$43</f>
        <v>63.983120993999997</v>
      </c>
      <c r="F95" s="155">
        <f t="shared" ref="F95" si="355">ROUNDDOWN($C95*G95,1)</f>
        <v>751.8</v>
      </c>
      <c r="G95" s="154">
        <f>RCF!C$5</f>
        <v>16.707999999999998</v>
      </c>
      <c r="H95" s="155">
        <f t="shared" ref="H95" si="356">ROUNDDOWN($C95*I95,1)</f>
        <v>751.8</v>
      </c>
      <c r="I95" s="154">
        <f t="shared" si="334"/>
        <v>16.707999999999998</v>
      </c>
      <c r="J95" s="156">
        <f t="shared" si="335"/>
        <v>827</v>
      </c>
      <c r="K95" s="156">
        <f t="shared" si="335"/>
        <v>1030</v>
      </c>
      <c r="L95" s="156">
        <f t="shared" si="335"/>
        <v>1105.2</v>
      </c>
      <c r="M95" s="156">
        <f t="shared" si="335"/>
        <v>1218</v>
      </c>
      <c r="N95" s="156">
        <f t="shared" si="335"/>
        <v>1503.7</v>
      </c>
      <c r="O95" s="156">
        <f t="shared" si="335"/>
        <v>1616.5</v>
      </c>
      <c r="P95" s="156">
        <f t="shared" si="335"/>
        <v>2255.6</v>
      </c>
      <c r="Q95" s="155">
        <f t="shared" si="336"/>
        <v>740.2</v>
      </c>
      <c r="R95" s="154">
        <f>RCF!C$7</f>
        <v>16.45</v>
      </c>
      <c r="S95" s="156">
        <f t="shared" si="337"/>
        <v>962.2</v>
      </c>
      <c r="T95" s="156">
        <f t="shared" si="337"/>
        <v>1110.3</v>
      </c>
      <c r="U95" s="155">
        <f t="shared" si="338"/>
        <v>728.6</v>
      </c>
      <c r="V95" s="154">
        <f>RCF!C$9</f>
        <v>16.192</v>
      </c>
      <c r="W95" s="155">
        <f t="shared" si="339"/>
        <v>728.6</v>
      </c>
      <c r="X95" s="154">
        <f t="shared" si="340"/>
        <v>16.192</v>
      </c>
      <c r="Y95" s="156">
        <f t="shared" si="341"/>
        <v>801.4</v>
      </c>
      <c r="Z95" s="156">
        <f t="shared" si="341"/>
        <v>998.1</v>
      </c>
      <c r="AA95" s="156">
        <f t="shared" si="341"/>
        <v>1180.3</v>
      </c>
      <c r="AB95" s="156">
        <f t="shared" si="341"/>
        <v>1071</v>
      </c>
      <c r="AC95" s="156">
        <f t="shared" si="341"/>
        <v>1581</v>
      </c>
      <c r="AD95" s="156">
        <f t="shared" si="341"/>
        <v>2185.8000000000002</v>
      </c>
      <c r="AE95" s="155">
        <f t="shared" si="342"/>
        <v>698.4</v>
      </c>
      <c r="AF95" s="154">
        <f>RCF!C$13</f>
        <v>15.52</v>
      </c>
      <c r="AG95" s="157">
        <f t="shared" si="343"/>
        <v>1152.4000000000001</v>
      </c>
      <c r="AH95" s="157">
        <f t="shared" si="343"/>
        <v>1466.6</v>
      </c>
      <c r="AI95" s="157">
        <f t="shared" si="343"/>
        <v>2095.1999999999998</v>
      </c>
      <c r="AJ95" s="155">
        <f t="shared" si="344"/>
        <v>738.6</v>
      </c>
      <c r="AK95" s="154">
        <f>RCF!C$25</f>
        <v>16.413333333333334</v>
      </c>
      <c r="AL95" s="155">
        <f t="shared" si="345"/>
        <v>993.9</v>
      </c>
      <c r="AM95" s="154">
        <f>RCF!C$59</f>
        <v>22.086666666666666</v>
      </c>
      <c r="AN95" s="155">
        <f t="shared" si="346"/>
        <v>793.4</v>
      </c>
      <c r="AO95" s="154">
        <f>RCF!C$33</f>
        <v>17.632999999999999</v>
      </c>
      <c r="AP95" s="157">
        <f t="shared" si="347"/>
        <v>1190.0999999999999</v>
      </c>
      <c r="AQ95" s="155">
        <f t="shared" si="348"/>
        <v>784.3</v>
      </c>
      <c r="AR95" s="154">
        <f>RCF!C$35</f>
        <v>17.43</v>
      </c>
      <c r="AS95" s="157">
        <f t="shared" si="349"/>
        <v>1019.5</v>
      </c>
      <c r="AT95" s="157">
        <f t="shared" si="349"/>
        <v>1137.2</v>
      </c>
      <c r="AU95" s="81">
        <f t="shared" si="350"/>
        <v>769</v>
      </c>
      <c r="AV95" s="80">
        <f>RCF!C$37</f>
        <v>17.09</v>
      </c>
      <c r="AW95" s="81">
        <f t="shared" si="351"/>
        <v>770.6</v>
      </c>
      <c r="AX95" s="80">
        <f>RCF!C$64</f>
        <v>17.125999999999998</v>
      </c>
      <c r="AY95" s="155">
        <f t="shared" si="352"/>
        <v>785.2</v>
      </c>
      <c r="AZ95" s="154">
        <f>RCF!C$39</f>
        <v>17.45</v>
      </c>
      <c r="BA95" s="155">
        <f t="shared" si="353"/>
        <v>750.5</v>
      </c>
      <c r="BB95" s="154">
        <f>RCF!C$41</f>
        <v>16.678999999999998</v>
      </c>
    </row>
    <row r="96" spans="1:54" s="97" customFormat="1" x14ac:dyDescent="0.2">
      <c r="A96" s="106">
        <v>3040</v>
      </c>
      <c r="B96" s="107" t="s">
        <v>137</v>
      </c>
      <c r="C96" s="108"/>
      <c r="D96" s="153">
        <f t="shared" si="354"/>
        <v>0</v>
      </c>
      <c r="E96" s="154">
        <f>RCF!C$43</f>
        <v>63.983120993999997</v>
      </c>
      <c r="F96" s="155">
        <f t="shared" ref="F96" si="357">ROUNDDOWN($C96*G96,1)</f>
        <v>0</v>
      </c>
      <c r="G96" s="154">
        <f>RCF!C$5</f>
        <v>16.707999999999998</v>
      </c>
      <c r="H96" s="155">
        <f t="shared" ref="H96" si="358">ROUNDDOWN($C96*I96,1)</f>
        <v>0</v>
      </c>
      <c r="I96" s="154">
        <f t="shared" si="334"/>
        <v>16.707999999999998</v>
      </c>
      <c r="J96" s="156">
        <f t="shared" si="335"/>
        <v>0</v>
      </c>
      <c r="K96" s="156">
        <f t="shared" si="335"/>
        <v>0</v>
      </c>
      <c r="L96" s="156">
        <f t="shared" si="335"/>
        <v>0</v>
      </c>
      <c r="M96" s="156">
        <f t="shared" si="335"/>
        <v>0</v>
      </c>
      <c r="N96" s="156">
        <f t="shared" si="335"/>
        <v>0</v>
      </c>
      <c r="O96" s="156">
        <f t="shared" si="335"/>
        <v>0</v>
      </c>
      <c r="P96" s="156">
        <f t="shared" si="335"/>
        <v>0</v>
      </c>
      <c r="Q96" s="155">
        <f t="shared" si="336"/>
        <v>0</v>
      </c>
      <c r="R96" s="154">
        <f>RCF!C$7</f>
        <v>16.45</v>
      </c>
      <c r="S96" s="156">
        <f t="shared" si="337"/>
        <v>0</v>
      </c>
      <c r="T96" s="156">
        <f t="shared" si="337"/>
        <v>0</v>
      </c>
      <c r="U96" s="155">
        <f t="shared" si="338"/>
        <v>0</v>
      </c>
      <c r="V96" s="154">
        <f>RCF!C$9</f>
        <v>16.192</v>
      </c>
      <c r="W96" s="155">
        <f t="shared" si="339"/>
        <v>0</v>
      </c>
      <c r="X96" s="154">
        <f t="shared" si="340"/>
        <v>16.192</v>
      </c>
      <c r="Y96" s="156">
        <f t="shared" si="341"/>
        <v>0</v>
      </c>
      <c r="Z96" s="156">
        <f t="shared" si="341"/>
        <v>0</v>
      </c>
      <c r="AA96" s="156">
        <f t="shared" si="341"/>
        <v>0</v>
      </c>
      <c r="AB96" s="156">
        <f t="shared" si="341"/>
        <v>0</v>
      </c>
      <c r="AC96" s="156">
        <f t="shared" si="341"/>
        <v>0</v>
      </c>
      <c r="AD96" s="156">
        <f t="shared" si="341"/>
        <v>0</v>
      </c>
      <c r="AE96" s="155">
        <f t="shared" si="342"/>
        <v>0</v>
      </c>
      <c r="AF96" s="154">
        <f>RCF!C$13</f>
        <v>15.52</v>
      </c>
      <c r="AG96" s="157">
        <f t="shared" si="343"/>
        <v>0</v>
      </c>
      <c r="AH96" s="157">
        <f t="shared" si="343"/>
        <v>0</v>
      </c>
      <c r="AI96" s="157">
        <f t="shared" si="343"/>
        <v>0</v>
      </c>
      <c r="AJ96" s="155">
        <f t="shared" si="344"/>
        <v>0</v>
      </c>
      <c r="AK96" s="154">
        <f>RCF!C$25</f>
        <v>16.413333333333334</v>
      </c>
      <c r="AL96" s="155">
        <f t="shared" si="345"/>
        <v>0</v>
      </c>
      <c r="AM96" s="154">
        <f>RCF!C$59</f>
        <v>22.086666666666666</v>
      </c>
      <c r="AN96" s="155">
        <f t="shared" si="346"/>
        <v>0</v>
      </c>
      <c r="AO96" s="154">
        <f>RCF!C$33</f>
        <v>17.632999999999999</v>
      </c>
      <c r="AP96" s="157">
        <f t="shared" si="347"/>
        <v>0</v>
      </c>
      <c r="AQ96" s="155">
        <f t="shared" si="348"/>
        <v>0</v>
      </c>
      <c r="AR96" s="154">
        <f>RCF!C$35</f>
        <v>17.43</v>
      </c>
      <c r="AS96" s="157">
        <f t="shared" si="349"/>
        <v>0</v>
      </c>
      <c r="AT96" s="157">
        <f t="shared" si="349"/>
        <v>0</v>
      </c>
      <c r="AU96" s="81">
        <f t="shared" si="350"/>
        <v>0</v>
      </c>
      <c r="AV96" s="80">
        <f>RCF!C$37</f>
        <v>17.09</v>
      </c>
      <c r="AW96" s="81">
        <f t="shared" si="351"/>
        <v>0</v>
      </c>
      <c r="AX96" s="80">
        <f>RCF!C$64</f>
        <v>17.125999999999998</v>
      </c>
      <c r="AY96" s="155">
        <f t="shared" si="352"/>
        <v>0</v>
      </c>
      <c r="AZ96" s="154">
        <f>RCF!C$39</f>
        <v>17.45</v>
      </c>
      <c r="BA96" s="155">
        <f t="shared" si="353"/>
        <v>0</v>
      </c>
      <c r="BB96" s="154">
        <f>RCF!C$41</f>
        <v>16.678999999999998</v>
      </c>
    </row>
    <row r="97" spans="1:54" s="97" customFormat="1" x14ac:dyDescent="0.2">
      <c r="A97" s="106">
        <v>3123</v>
      </c>
      <c r="B97" s="107" t="s">
        <v>138</v>
      </c>
      <c r="C97" s="108">
        <v>470.8</v>
      </c>
      <c r="D97" s="153">
        <f t="shared" si="354"/>
        <v>30123.3</v>
      </c>
      <c r="E97" s="154">
        <f>RCF!C$43</f>
        <v>63.983120993999997</v>
      </c>
      <c r="F97" s="155">
        <f t="shared" ref="F97" si="359">ROUNDDOWN($C97*G97,1)</f>
        <v>7866.1</v>
      </c>
      <c r="G97" s="154">
        <f>RCF!C$5</f>
        <v>16.707999999999998</v>
      </c>
      <c r="H97" s="155">
        <f t="shared" ref="H97" si="360">ROUNDDOWN($C97*I97,1)</f>
        <v>7866.1</v>
      </c>
      <c r="I97" s="154">
        <f t="shared" si="334"/>
        <v>16.707999999999998</v>
      </c>
      <c r="J97" s="156">
        <f t="shared" si="335"/>
        <v>8652.7000000000007</v>
      </c>
      <c r="K97" s="156">
        <f t="shared" si="335"/>
        <v>10776.6</v>
      </c>
      <c r="L97" s="156">
        <f t="shared" si="335"/>
        <v>11563.2</v>
      </c>
      <c r="M97" s="156">
        <f t="shared" si="335"/>
        <v>12743.1</v>
      </c>
      <c r="N97" s="156">
        <f t="shared" si="335"/>
        <v>15732.3</v>
      </c>
      <c r="O97" s="156">
        <f t="shared" si="335"/>
        <v>16912.2</v>
      </c>
      <c r="P97" s="156">
        <f t="shared" si="335"/>
        <v>23598.400000000001</v>
      </c>
      <c r="Q97" s="155">
        <f t="shared" si="336"/>
        <v>7744.6</v>
      </c>
      <c r="R97" s="154">
        <f>RCF!C$7</f>
        <v>16.45</v>
      </c>
      <c r="S97" s="156">
        <f t="shared" si="337"/>
        <v>10067.9</v>
      </c>
      <c r="T97" s="156">
        <f t="shared" si="337"/>
        <v>11616.9</v>
      </c>
      <c r="U97" s="155">
        <f t="shared" si="338"/>
        <v>7623.1</v>
      </c>
      <c r="V97" s="154">
        <f>RCF!C$9</f>
        <v>16.192</v>
      </c>
      <c r="W97" s="155">
        <f t="shared" si="339"/>
        <v>7623.1</v>
      </c>
      <c r="X97" s="154">
        <f t="shared" si="340"/>
        <v>16.192</v>
      </c>
      <c r="Y97" s="156">
        <f t="shared" si="341"/>
        <v>8385.4</v>
      </c>
      <c r="Z97" s="156">
        <f t="shared" si="341"/>
        <v>10443.6</v>
      </c>
      <c r="AA97" s="156">
        <f t="shared" si="341"/>
        <v>12349.4</v>
      </c>
      <c r="AB97" s="156">
        <f t="shared" si="341"/>
        <v>11205.9</v>
      </c>
      <c r="AC97" s="156">
        <f t="shared" si="341"/>
        <v>16542.099999999999</v>
      </c>
      <c r="AD97" s="156">
        <f t="shared" si="341"/>
        <v>22869.3</v>
      </c>
      <c r="AE97" s="155">
        <f t="shared" si="342"/>
        <v>7306.8</v>
      </c>
      <c r="AF97" s="154">
        <f>RCF!C$13</f>
        <v>15.52</v>
      </c>
      <c r="AG97" s="157">
        <f t="shared" si="343"/>
        <v>12056.2</v>
      </c>
      <c r="AH97" s="157">
        <f t="shared" si="343"/>
        <v>15344.3</v>
      </c>
      <c r="AI97" s="157">
        <f t="shared" si="343"/>
        <v>21920.400000000001</v>
      </c>
      <c r="AJ97" s="155">
        <f t="shared" si="344"/>
        <v>7727.3</v>
      </c>
      <c r="AK97" s="154">
        <f>RCF!C$25</f>
        <v>16.413333333333334</v>
      </c>
      <c r="AL97" s="155">
        <f t="shared" si="345"/>
        <v>10398.4</v>
      </c>
      <c r="AM97" s="154">
        <f>RCF!C$59</f>
        <v>22.086666666666666</v>
      </c>
      <c r="AN97" s="155">
        <f t="shared" si="346"/>
        <v>8301.6</v>
      </c>
      <c r="AO97" s="154">
        <f>RCF!C$33</f>
        <v>17.632999999999999</v>
      </c>
      <c r="AP97" s="157">
        <f t="shared" si="347"/>
        <v>12452.4</v>
      </c>
      <c r="AQ97" s="155">
        <f t="shared" si="348"/>
        <v>8206</v>
      </c>
      <c r="AR97" s="154">
        <f>RCF!C$35</f>
        <v>17.43</v>
      </c>
      <c r="AS97" s="157">
        <f t="shared" si="349"/>
        <v>10667.8</v>
      </c>
      <c r="AT97" s="157">
        <f t="shared" si="349"/>
        <v>11898.7</v>
      </c>
      <c r="AU97" s="81">
        <f t="shared" si="350"/>
        <v>8045.9</v>
      </c>
      <c r="AV97" s="80">
        <f>RCF!C$37</f>
        <v>17.09</v>
      </c>
      <c r="AW97" s="81">
        <f t="shared" si="351"/>
        <v>8062.9</v>
      </c>
      <c r="AX97" s="80">
        <f>RCF!C$64</f>
        <v>17.125999999999998</v>
      </c>
      <c r="AY97" s="155">
        <f t="shared" si="352"/>
        <v>8215.4</v>
      </c>
      <c r="AZ97" s="154">
        <f>RCF!C$39</f>
        <v>17.45</v>
      </c>
      <c r="BA97" s="155">
        <f t="shared" si="353"/>
        <v>7852.4</v>
      </c>
      <c r="BB97" s="154">
        <f>RCF!C$41</f>
        <v>16.678999999999998</v>
      </c>
    </row>
    <row r="98" spans="1:54" s="97" customFormat="1" x14ac:dyDescent="0.2">
      <c r="A98" s="106">
        <v>3168</v>
      </c>
      <c r="B98" s="107" t="s">
        <v>139</v>
      </c>
      <c r="C98" s="108">
        <v>35.6</v>
      </c>
      <c r="D98" s="153">
        <f t="shared" si="354"/>
        <v>2277.8000000000002</v>
      </c>
      <c r="E98" s="154">
        <f>RCF!C$43</f>
        <v>63.983120993999997</v>
      </c>
      <c r="F98" s="155">
        <f t="shared" ref="F98" si="361">ROUNDDOWN($C98*G98,1)</f>
        <v>594.79999999999995</v>
      </c>
      <c r="G98" s="154">
        <f>RCF!C$5</f>
        <v>16.707999999999998</v>
      </c>
      <c r="H98" s="155">
        <f t="shared" ref="H98" si="362">ROUNDDOWN($C98*I98,1)</f>
        <v>594.79999999999995</v>
      </c>
      <c r="I98" s="154">
        <f t="shared" si="334"/>
        <v>16.707999999999998</v>
      </c>
      <c r="J98" s="156">
        <f t="shared" si="335"/>
        <v>654.29999999999995</v>
      </c>
      <c r="K98" s="156">
        <f t="shared" si="335"/>
        <v>814.9</v>
      </c>
      <c r="L98" s="156">
        <f t="shared" si="335"/>
        <v>874.4</v>
      </c>
      <c r="M98" s="156">
        <f t="shared" si="335"/>
        <v>963.6</v>
      </c>
      <c r="N98" s="156">
        <f t="shared" si="335"/>
        <v>1189.5999999999999</v>
      </c>
      <c r="O98" s="156">
        <f t="shared" si="335"/>
        <v>1278.8</v>
      </c>
      <c r="P98" s="156">
        <f t="shared" si="335"/>
        <v>1784.4</v>
      </c>
      <c r="Q98" s="155">
        <f t="shared" si="336"/>
        <v>585.6</v>
      </c>
      <c r="R98" s="154">
        <f>RCF!C$7</f>
        <v>16.45</v>
      </c>
      <c r="S98" s="156">
        <f t="shared" si="337"/>
        <v>761.2</v>
      </c>
      <c r="T98" s="156">
        <f t="shared" si="337"/>
        <v>878.4</v>
      </c>
      <c r="U98" s="155">
        <f t="shared" si="338"/>
        <v>576.4</v>
      </c>
      <c r="V98" s="154">
        <f>RCF!C$9</f>
        <v>16.192</v>
      </c>
      <c r="W98" s="155">
        <f t="shared" si="339"/>
        <v>576.4</v>
      </c>
      <c r="X98" s="154">
        <f t="shared" si="340"/>
        <v>16.192</v>
      </c>
      <c r="Y98" s="156">
        <f t="shared" si="341"/>
        <v>634</v>
      </c>
      <c r="Z98" s="156">
        <f t="shared" si="341"/>
        <v>789.6</v>
      </c>
      <c r="AA98" s="156">
        <f t="shared" si="341"/>
        <v>933.7</v>
      </c>
      <c r="AB98" s="156">
        <f t="shared" si="341"/>
        <v>847.3</v>
      </c>
      <c r="AC98" s="156">
        <f t="shared" si="341"/>
        <v>1250.7</v>
      </c>
      <c r="AD98" s="156">
        <f t="shared" si="341"/>
        <v>1729.2</v>
      </c>
      <c r="AE98" s="155">
        <f t="shared" si="342"/>
        <v>552.5</v>
      </c>
      <c r="AF98" s="154">
        <f>RCF!C$13</f>
        <v>15.52</v>
      </c>
      <c r="AG98" s="157">
        <f t="shared" si="343"/>
        <v>911.6</v>
      </c>
      <c r="AH98" s="157">
        <f t="shared" si="343"/>
        <v>1160.3</v>
      </c>
      <c r="AI98" s="157">
        <f t="shared" si="343"/>
        <v>1657.5</v>
      </c>
      <c r="AJ98" s="155">
        <f t="shared" si="344"/>
        <v>584.29999999999995</v>
      </c>
      <c r="AK98" s="154">
        <f>RCF!C$25</f>
        <v>16.413333333333334</v>
      </c>
      <c r="AL98" s="155">
        <f t="shared" si="345"/>
        <v>786.2</v>
      </c>
      <c r="AM98" s="154">
        <f>RCF!C$59</f>
        <v>22.086666666666666</v>
      </c>
      <c r="AN98" s="155">
        <f t="shared" si="346"/>
        <v>627.70000000000005</v>
      </c>
      <c r="AO98" s="154">
        <f>RCF!C$33</f>
        <v>17.632999999999999</v>
      </c>
      <c r="AP98" s="157">
        <f t="shared" si="347"/>
        <v>941.5</v>
      </c>
      <c r="AQ98" s="155">
        <f t="shared" si="348"/>
        <v>620.5</v>
      </c>
      <c r="AR98" s="154">
        <f>RCF!C$35</f>
        <v>17.43</v>
      </c>
      <c r="AS98" s="157">
        <f t="shared" si="349"/>
        <v>806.6</v>
      </c>
      <c r="AT98" s="157">
        <f t="shared" si="349"/>
        <v>899.7</v>
      </c>
      <c r="AU98" s="81">
        <f t="shared" si="350"/>
        <v>608.4</v>
      </c>
      <c r="AV98" s="80">
        <f>RCF!C$37</f>
        <v>17.09</v>
      </c>
      <c r="AW98" s="81">
        <f t="shared" si="351"/>
        <v>609.6</v>
      </c>
      <c r="AX98" s="80">
        <f>RCF!C$64</f>
        <v>17.125999999999998</v>
      </c>
      <c r="AY98" s="155">
        <f t="shared" si="352"/>
        <v>621.20000000000005</v>
      </c>
      <c r="AZ98" s="154">
        <f>RCF!C$39</f>
        <v>17.45</v>
      </c>
      <c r="BA98" s="155">
        <f t="shared" si="353"/>
        <v>593.70000000000005</v>
      </c>
      <c r="BB98" s="154">
        <f>RCF!C$41</f>
        <v>16.678999999999998</v>
      </c>
    </row>
    <row r="99" spans="1:54" s="97" customFormat="1" ht="25.5" x14ac:dyDescent="0.2">
      <c r="A99" s="106" t="s">
        <v>215</v>
      </c>
      <c r="B99" s="107" t="s">
        <v>106</v>
      </c>
      <c r="C99" s="108"/>
      <c r="D99" s="158"/>
      <c r="E99" s="154"/>
      <c r="F99" s="159"/>
      <c r="G99" s="160"/>
      <c r="H99" s="159"/>
      <c r="I99" s="158"/>
      <c r="J99" s="161"/>
      <c r="K99" s="161"/>
      <c r="L99" s="161"/>
      <c r="M99" s="161"/>
      <c r="N99" s="161"/>
      <c r="O99" s="161"/>
      <c r="P99" s="161"/>
      <c r="Q99" s="158"/>
      <c r="R99" s="162"/>
      <c r="S99" s="161"/>
      <c r="T99" s="161"/>
      <c r="U99" s="158"/>
      <c r="V99" s="162"/>
      <c r="W99" s="158"/>
      <c r="X99" s="162"/>
      <c r="Y99" s="161"/>
      <c r="Z99" s="161"/>
      <c r="AA99" s="161"/>
      <c r="AB99" s="161"/>
      <c r="AC99" s="161"/>
      <c r="AD99" s="161"/>
      <c r="AE99" s="158"/>
      <c r="AF99" s="162"/>
      <c r="AG99" s="163"/>
      <c r="AH99" s="163"/>
      <c r="AI99" s="163"/>
      <c r="AJ99" s="158"/>
      <c r="AK99" s="160"/>
      <c r="AL99" s="158"/>
      <c r="AM99" s="160"/>
      <c r="AN99" s="158"/>
      <c r="AO99" s="160"/>
      <c r="AP99" s="163"/>
      <c r="AQ99" s="158"/>
      <c r="AR99" s="160"/>
      <c r="AS99" s="163"/>
      <c r="AT99" s="163"/>
      <c r="AU99" s="158"/>
      <c r="AV99" s="160"/>
      <c r="AW99" s="159"/>
      <c r="AX99" s="160"/>
      <c r="AY99" s="158"/>
      <c r="AZ99" s="160"/>
      <c r="BA99" s="158"/>
      <c r="BB99" s="160"/>
    </row>
    <row r="100" spans="1:54" s="97" customFormat="1" x14ac:dyDescent="0.2">
      <c r="A100" s="106" t="s">
        <v>216</v>
      </c>
      <c r="B100" s="107" t="s">
        <v>107</v>
      </c>
      <c r="C100" s="108"/>
      <c r="D100" s="158"/>
      <c r="E100" s="154"/>
      <c r="F100" s="159"/>
      <c r="G100" s="160"/>
      <c r="H100" s="159"/>
      <c r="I100" s="158"/>
      <c r="J100" s="161"/>
      <c r="K100" s="161"/>
      <c r="L100" s="161"/>
      <c r="M100" s="161"/>
      <c r="N100" s="161"/>
      <c r="O100" s="161"/>
      <c r="P100" s="161"/>
      <c r="Q100" s="158"/>
      <c r="R100" s="162"/>
      <c r="S100" s="161"/>
      <c r="T100" s="161"/>
      <c r="U100" s="158"/>
      <c r="V100" s="162"/>
      <c r="W100" s="158"/>
      <c r="X100" s="162"/>
      <c r="Y100" s="161"/>
      <c r="Z100" s="161"/>
      <c r="AA100" s="161"/>
      <c r="AB100" s="161"/>
      <c r="AC100" s="161"/>
      <c r="AD100" s="161"/>
      <c r="AE100" s="158"/>
      <c r="AF100" s="162"/>
      <c r="AG100" s="163"/>
      <c r="AH100" s="163"/>
      <c r="AI100" s="163"/>
      <c r="AJ100" s="158"/>
      <c r="AK100" s="160"/>
      <c r="AL100" s="158"/>
      <c r="AM100" s="160"/>
      <c r="AN100" s="158"/>
      <c r="AO100" s="160"/>
      <c r="AP100" s="163"/>
      <c r="AQ100" s="158"/>
      <c r="AR100" s="160"/>
      <c r="AS100" s="163"/>
      <c r="AT100" s="163"/>
      <c r="AU100" s="158"/>
      <c r="AV100" s="160"/>
      <c r="AW100" s="159"/>
      <c r="AX100" s="160"/>
      <c r="AY100" s="158"/>
      <c r="AZ100" s="160"/>
      <c r="BA100" s="158"/>
      <c r="BB100" s="160"/>
    </row>
    <row r="101" spans="1:54" s="97" customFormat="1" x14ac:dyDescent="0.2">
      <c r="A101" s="106" t="s">
        <v>217</v>
      </c>
      <c r="B101" s="107" t="s">
        <v>110</v>
      </c>
      <c r="C101" s="108"/>
      <c r="D101" s="158"/>
      <c r="E101" s="154"/>
      <c r="F101" s="159"/>
      <c r="G101" s="160"/>
      <c r="H101" s="159"/>
      <c r="I101" s="158"/>
      <c r="J101" s="161"/>
      <c r="K101" s="161"/>
      <c r="L101" s="161"/>
      <c r="M101" s="161"/>
      <c r="N101" s="161"/>
      <c r="O101" s="161"/>
      <c r="P101" s="161"/>
      <c r="Q101" s="158"/>
      <c r="R101" s="162"/>
      <c r="S101" s="161"/>
      <c r="T101" s="161"/>
      <c r="U101" s="158"/>
      <c r="V101" s="162"/>
      <c r="W101" s="158"/>
      <c r="X101" s="162"/>
      <c r="Y101" s="161"/>
      <c r="Z101" s="161"/>
      <c r="AA101" s="161"/>
      <c r="AB101" s="161"/>
      <c r="AC101" s="161"/>
      <c r="AD101" s="161"/>
      <c r="AE101" s="158"/>
      <c r="AF101" s="162"/>
      <c r="AG101" s="163"/>
      <c r="AH101" s="163"/>
      <c r="AI101" s="163"/>
      <c r="AJ101" s="158"/>
      <c r="AK101" s="160"/>
      <c r="AL101" s="158"/>
      <c r="AM101" s="160"/>
      <c r="AN101" s="158"/>
      <c r="AO101" s="160"/>
      <c r="AP101" s="163"/>
      <c r="AQ101" s="158"/>
      <c r="AR101" s="160"/>
      <c r="AS101" s="163"/>
      <c r="AT101" s="163"/>
      <c r="AU101" s="158"/>
      <c r="AV101" s="160"/>
      <c r="AW101" s="159"/>
      <c r="AX101" s="160"/>
      <c r="AY101" s="158"/>
      <c r="AZ101" s="160"/>
      <c r="BA101" s="158"/>
      <c r="BB101" s="160"/>
    </row>
    <row r="102" spans="1:54" s="97" customFormat="1" x14ac:dyDescent="0.2">
      <c r="A102" s="106" t="s">
        <v>218</v>
      </c>
      <c r="B102" s="107" t="s">
        <v>111</v>
      </c>
      <c r="C102" s="108"/>
      <c r="D102" s="158"/>
      <c r="E102" s="154"/>
      <c r="F102" s="159"/>
      <c r="G102" s="160"/>
      <c r="H102" s="159"/>
      <c r="I102" s="158"/>
      <c r="J102" s="161"/>
      <c r="K102" s="161"/>
      <c r="L102" s="161"/>
      <c r="M102" s="161"/>
      <c r="N102" s="161"/>
      <c r="O102" s="161"/>
      <c r="P102" s="161"/>
      <c r="Q102" s="158"/>
      <c r="R102" s="162"/>
      <c r="S102" s="161"/>
      <c r="T102" s="161"/>
      <c r="U102" s="158"/>
      <c r="V102" s="162"/>
      <c r="W102" s="158"/>
      <c r="X102" s="162"/>
      <c r="Y102" s="161"/>
      <c r="Z102" s="161"/>
      <c r="AA102" s="161"/>
      <c r="AB102" s="161"/>
      <c r="AC102" s="161"/>
      <c r="AD102" s="161"/>
      <c r="AE102" s="158"/>
      <c r="AF102" s="162"/>
      <c r="AG102" s="163"/>
      <c r="AH102" s="163"/>
      <c r="AI102" s="163"/>
      <c r="AJ102" s="158"/>
      <c r="AK102" s="160"/>
      <c r="AL102" s="158"/>
      <c r="AM102" s="160"/>
      <c r="AN102" s="158"/>
      <c r="AO102" s="160"/>
      <c r="AP102" s="163"/>
      <c r="AQ102" s="158"/>
      <c r="AR102" s="160"/>
      <c r="AS102" s="163"/>
      <c r="AT102" s="163"/>
      <c r="AU102" s="158"/>
      <c r="AV102" s="160"/>
      <c r="AW102" s="159"/>
      <c r="AX102" s="160"/>
      <c r="AY102" s="158"/>
      <c r="AZ102" s="160"/>
      <c r="BA102" s="158"/>
      <c r="BB102" s="160"/>
    </row>
    <row r="103" spans="1:54" x14ac:dyDescent="0.2">
      <c r="A103" s="115"/>
      <c r="B103" s="116"/>
      <c r="C103" s="117"/>
      <c r="D103" s="164"/>
      <c r="E103" s="165"/>
      <c r="F103" s="164"/>
      <c r="G103" s="165"/>
      <c r="H103" s="164"/>
      <c r="I103" s="165"/>
      <c r="J103" s="166"/>
      <c r="K103" s="166"/>
      <c r="L103" s="166"/>
      <c r="M103" s="166"/>
      <c r="N103" s="166"/>
      <c r="O103" s="166"/>
      <c r="P103" s="166"/>
      <c r="Q103" s="164"/>
      <c r="R103" s="165"/>
      <c r="S103" s="166"/>
      <c r="T103" s="166"/>
      <c r="U103" s="164"/>
      <c r="V103" s="165"/>
      <c r="W103" s="164"/>
      <c r="X103" s="165"/>
      <c r="Y103" s="167"/>
      <c r="Z103" s="167"/>
      <c r="AA103" s="167"/>
      <c r="AB103" s="167"/>
      <c r="AC103" s="167"/>
      <c r="AD103" s="167"/>
      <c r="AE103" s="164"/>
      <c r="AF103" s="165"/>
      <c r="AG103" s="168"/>
      <c r="AH103" s="168"/>
      <c r="AI103" s="168"/>
      <c r="AJ103" s="164"/>
      <c r="AK103" s="165"/>
      <c r="AL103" s="164"/>
      <c r="AM103" s="165"/>
      <c r="AN103" s="164"/>
      <c r="AO103" s="165"/>
      <c r="AP103" s="168"/>
      <c r="AQ103" s="169"/>
      <c r="AR103" s="170"/>
      <c r="AS103" s="168"/>
      <c r="AT103" s="168"/>
      <c r="AU103" s="169"/>
      <c r="AV103" s="170"/>
      <c r="AW103" s="169"/>
      <c r="AX103" s="170"/>
      <c r="AY103" s="169"/>
      <c r="AZ103" s="170"/>
      <c r="BA103" s="169"/>
      <c r="BB103" s="170"/>
    </row>
    <row r="104" spans="1:54" x14ac:dyDescent="0.2">
      <c r="A104" s="251" t="s">
        <v>264</v>
      </c>
      <c r="B104" s="252"/>
      <c r="C104" s="252"/>
      <c r="D104" s="252"/>
      <c r="E104" s="253"/>
      <c r="F104" s="253"/>
      <c r="G104" s="253"/>
      <c r="H104" s="254"/>
      <c r="I104" s="253"/>
      <c r="J104" s="255"/>
      <c r="K104" s="255"/>
      <c r="L104" s="255"/>
      <c r="M104" s="255"/>
      <c r="N104" s="255"/>
      <c r="O104" s="255"/>
      <c r="P104" s="255"/>
      <c r="Q104" s="254"/>
      <c r="R104" s="253"/>
      <c r="S104" s="255"/>
      <c r="T104" s="255"/>
      <c r="U104" s="256"/>
      <c r="V104" s="257"/>
      <c r="W104" s="256"/>
      <c r="X104" s="257"/>
      <c r="Y104" s="252"/>
      <c r="Z104" s="252"/>
      <c r="AA104" s="252"/>
      <c r="AB104" s="252"/>
      <c r="AC104" s="252"/>
      <c r="AD104" s="252"/>
      <c r="AE104" s="254"/>
      <c r="AF104" s="254"/>
      <c r="AG104" s="254"/>
      <c r="AH104" s="254"/>
      <c r="AI104" s="254"/>
      <c r="AJ104" s="252"/>
      <c r="AK104" s="257"/>
      <c r="AL104" s="252"/>
      <c r="AM104" s="257"/>
      <c r="AN104" s="258"/>
      <c r="AO104" s="255"/>
      <c r="AP104" s="254"/>
      <c r="AQ104" s="254"/>
      <c r="AR104" s="254"/>
      <c r="AS104" s="254"/>
      <c r="AT104" s="254"/>
      <c r="AU104" s="254"/>
      <c r="AV104" s="254"/>
      <c r="AW104" s="254"/>
      <c r="AX104" s="254"/>
      <c r="AY104" s="254"/>
      <c r="AZ104" s="254"/>
      <c r="BA104" s="258"/>
      <c r="BB104" s="259"/>
    </row>
    <row r="105" spans="1:54" x14ac:dyDescent="0.2">
      <c r="A105" s="212" t="s">
        <v>112</v>
      </c>
      <c r="B105" s="9"/>
      <c r="C105" s="10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1"/>
      <c r="V105" s="12"/>
      <c r="W105" s="11"/>
      <c r="X105" s="12"/>
      <c r="Y105" s="9"/>
      <c r="Z105" s="9"/>
      <c r="AA105" s="9"/>
      <c r="AB105" s="9"/>
      <c r="AC105" s="9"/>
      <c r="AD105" s="9"/>
      <c r="AE105" s="11"/>
      <c r="AF105" s="12"/>
      <c r="AG105" s="12"/>
      <c r="AH105" s="12"/>
      <c r="AI105" s="12"/>
      <c r="AJ105" s="11"/>
      <c r="AK105" s="12"/>
      <c r="AL105" s="11"/>
      <c r="AM105" s="12"/>
      <c r="AN105" s="11"/>
      <c r="AO105" s="12"/>
      <c r="AP105" s="12"/>
      <c r="AQ105" s="11"/>
      <c r="AR105" s="12"/>
      <c r="AS105" s="12"/>
      <c r="AT105" s="12"/>
      <c r="AU105" s="11"/>
      <c r="AV105" s="12"/>
      <c r="AW105" s="11"/>
      <c r="AX105" s="12"/>
      <c r="AY105" s="11"/>
      <c r="AZ105" s="12"/>
      <c r="BA105" s="12"/>
      <c r="BB105" s="13"/>
    </row>
    <row r="106" spans="1:54" x14ac:dyDescent="0.2">
      <c r="A106" s="235" t="s">
        <v>178</v>
      </c>
      <c r="B106" s="214"/>
      <c r="C106" s="214"/>
      <c r="D106" s="214"/>
      <c r="E106" s="214"/>
      <c r="F106" s="215"/>
      <c r="G106" s="215"/>
      <c r="H106" s="215"/>
      <c r="I106" s="215"/>
      <c r="J106" s="216"/>
      <c r="K106" s="216"/>
      <c r="L106" s="216"/>
      <c r="M106" s="216"/>
      <c r="N106" s="216"/>
      <c r="O106" s="216"/>
      <c r="P106" s="216"/>
      <c r="Q106" s="215"/>
      <c r="R106" s="215"/>
      <c r="S106" s="216"/>
      <c r="T106" s="216"/>
      <c r="U106" s="215"/>
      <c r="V106" s="215"/>
      <c r="W106" s="215"/>
      <c r="X106" s="215"/>
      <c r="Y106" s="14"/>
      <c r="Z106" s="14"/>
      <c r="AA106" s="14"/>
      <c r="AB106" s="14"/>
      <c r="AC106" s="14"/>
      <c r="AD106" s="14"/>
      <c r="AE106" s="215"/>
      <c r="AF106" s="215"/>
      <c r="AG106" s="16"/>
      <c r="AH106" s="16"/>
      <c r="AI106" s="16"/>
      <c r="AJ106" s="215"/>
      <c r="AK106" s="215"/>
      <c r="AL106" s="215"/>
      <c r="AM106" s="215"/>
      <c r="AN106" s="122"/>
      <c r="AO106" s="215"/>
      <c r="AP106" s="16"/>
      <c r="AQ106" s="122"/>
      <c r="AR106" s="215"/>
      <c r="AS106" s="16"/>
      <c r="AT106" s="16"/>
      <c r="AU106" s="122"/>
      <c r="AV106" s="215"/>
      <c r="AW106" s="262"/>
      <c r="AX106" s="215"/>
      <c r="AY106" s="122"/>
      <c r="AZ106" s="123"/>
      <c r="BA106" s="215"/>
      <c r="BB106" s="124"/>
    </row>
    <row r="107" spans="1:54" x14ac:dyDescent="0.2">
      <c r="A107" s="125" t="s">
        <v>271</v>
      </c>
      <c r="B107" s="214"/>
      <c r="C107" s="214"/>
      <c r="D107" s="214"/>
      <c r="E107" s="214"/>
      <c r="F107" s="215"/>
      <c r="G107" s="215"/>
      <c r="H107" s="215"/>
      <c r="I107" s="215"/>
      <c r="J107" s="216"/>
      <c r="K107" s="216"/>
      <c r="L107" s="216"/>
      <c r="M107" s="216"/>
      <c r="N107" s="216"/>
      <c r="O107" s="216"/>
      <c r="P107" s="216"/>
      <c r="Q107" s="215"/>
      <c r="R107" s="215"/>
      <c r="S107" s="216"/>
      <c r="T107" s="216"/>
      <c r="U107" s="215"/>
      <c r="V107" s="215"/>
      <c r="W107" s="215"/>
      <c r="X107" s="215"/>
      <c r="Y107" s="14"/>
      <c r="Z107" s="14"/>
      <c r="AA107" s="14"/>
      <c r="AB107" s="14"/>
      <c r="AC107" s="14"/>
      <c r="AD107" s="14"/>
      <c r="AE107" s="215"/>
      <c r="AF107" s="215"/>
      <c r="AG107" s="16"/>
      <c r="AH107" s="16"/>
      <c r="AI107" s="16"/>
      <c r="AJ107" s="215"/>
      <c r="AK107" s="215"/>
      <c r="AL107" s="215"/>
      <c r="AM107" s="215"/>
      <c r="AN107" s="122"/>
      <c r="AO107" s="215"/>
      <c r="AP107" s="16"/>
      <c r="AQ107" s="122"/>
      <c r="AR107" s="215"/>
      <c r="AS107" s="16"/>
      <c r="AT107" s="16"/>
      <c r="AU107" s="122"/>
      <c r="AV107" s="215"/>
      <c r="AW107" s="262"/>
      <c r="AX107" s="215"/>
      <c r="AY107" s="122"/>
      <c r="AZ107" s="123"/>
      <c r="BA107" s="215"/>
      <c r="BB107" s="124"/>
    </row>
    <row r="108" spans="1:54" x14ac:dyDescent="0.2">
      <c r="A108" s="236" t="s">
        <v>250</v>
      </c>
      <c r="B108" s="215"/>
      <c r="C108" s="14"/>
      <c r="D108" s="15"/>
      <c r="E108" s="16"/>
      <c r="F108" s="16"/>
      <c r="G108" s="16"/>
      <c r="H108" s="16"/>
      <c r="I108" s="16"/>
      <c r="J108" s="216"/>
      <c r="K108" s="216"/>
      <c r="L108" s="216"/>
      <c r="M108" s="216"/>
      <c r="N108" s="216"/>
      <c r="O108" s="216"/>
      <c r="P108" s="216"/>
      <c r="Q108" s="16"/>
      <c r="R108" s="16"/>
      <c r="S108" s="216"/>
      <c r="T108" s="216"/>
      <c r="U108" s="15"/>
      <c r="V108" s="16"/>
      <c r="W108" s="15"/>
      <c r="X108" s="16"/>
      <c r="Y108" s="14"/>
      <c r="Z108" s="14"/>
      <c r="AA108" s="14"/>
      <c r="AB108" s="14"/>
      <c r="AC108" s="14"/>
      <c r="AD108" s="14"/>
      <c r="AE108" s="15"/>
      <c r="AF108" s="16"/>
      <c r="AG108" s="16"/>
      <c r="AH108" s="16"/>
      <c r="AI108" s="16"/>
      <c r="AJ108" s="15"/>
      <c r="AK108" s="16"/>
      <c r="AL108" s="15"/>
      <c r="AM108" s="16"/>
      <c r="AN108" s="15"/>
      <c r="AO108" s="16"/>
      <c r="AP108" s="16"/>
      <c r="AQ108" s="15"/>
      <c r="AR108" s="16"/>
      <c r="AS108" s="16"/>
      <c r="AT108" s="16"/>
      <c r="AU108" s="15"/>
      <c r="AV108" s="16"/>
      <c r="AW108" s="15"/>
      <c r="AX108" s="16"/>
      <c r="AY108" s="15"/>
      <c r="AZ108" s="16"/>
      <c r="BA108" s="16"/>
      <c r="BB108" s="17"/>
    </row>
    <row r="109" spans="1:54" x14ac:dyDescent="0.2">
      <c r="A109" s="213" t="s">
        <v>251</v>
      </c>
      <c r="B109" s="215"/>
      <c r="C109" s="14"/>
      <c r="D109" s="15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5"/>
      <c r="V109" s="16"/>
      <c r="W109" s="15"/>
      <c r="X109" s="16"/>
      <c r="Y109" s="14"/>
      <c r="Z109" s="14"/>
      <c r="AA109" s="14"/>
      <c r="AB109" s="14"/>
      <c r="AC109" s="14"/>
      <c r="AD109" s="14"/>
      <c r="AE109" s="15"/>
      <c r="AF109" s="16"/>
      <c r="AG109" s="16"/>
      <c r="AH109" s="16"/>
      <c r="AI109" s="16"/>
      <c r="AJ109" s="15"/>
      <c r="AK109" s="16"/>
      <c r="AL109" s="15"/>
      <c r="AM109" s="16"/>
      <c r="AN109" s="15"/>
      <c r="AO109" s="16"/>
      <c r="AP109" s="16"/>
      <c r="AQ109" s="15"/>
      <c r="AR109" s="16"/>
      <c r="AS109" s="16"/>
      <c r="AT109" s="16"/>
      <c r="AU109" s="15"/>
      <c r="AV109" s="16"/>
      <c r="AW109" s="15"/>
      <c r="AX109" s="16"/>
      <c r="AY109" s="15"/>
      <c r="AZ109" s="16"/>
      <c r="BA109" s="16"/>
      <c r="BB109" s="17"/>
    </row>
    <row r="110" spans="1:54" x14ac:dyDescent="0.2">
      <c r="A110" s="235" t="s">
        <v>272</v>
      </c>
      <c r="B110" s="215"/>
      <c r="C110" s="14"/>
      <c r="D110" s="15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5"/>
      <c r="V110" s="16"/>
      <c r="W110" s="15"/>
      <c r="X110" s="16"/>
      <c r="Y110" s="14"/>
      <c r="Z110" s="14"/>
      <c r="AA110" s="14"/>
      <c r="AB110" s="14"/>
      <c r="AC110" s="14"/>
      <c r="AD110" s="14"/>
      <c r="AE110" s="15"/>
      <c r="AF110" s="16"/>
      <c r="AG110" s="16"/>
      <c r="AH110" s="16"/>
      <c r="AI110" s="16"/>
      <c r="AJ110" s="15"/>
      <c r="AK110" s="16"/>
      <c r="AL110" s="15"/>
      <c r="AM110" s="16"/>
      <c r="AN110" s="15"/>
      <c r="AO110" s="16"/>
      <c r="AP110" s="16"/>
      <c r="AQ110" s="15"/>
      <c r="AR110" s="16"/>
      <c r="AS110" s="16"/>
      <c r="AT110" s="16"/>
      <c r="AU110" s="15"/>
      <c r="AV110" s="16"/>
      <c r="AW110" s="15"/>
      <c r="AX110" s="16"/>
      <c r="AY110" s="15"/>
      <c r="AZ110" s="16"/>
      <c r="BA110" s="16"/>
      <c r="BB110" s="17"/>
    </row>
    <row r="111" spans="1:54" x14ac:dyDescent="0.2">
      <c r="A111" s="237" t="s">
        <v>265</v>
      </c>
      <c r="B111" s="215"/>
      <c r="C111" s="14"/>
      <c r="D111" s="15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5"/>
      <c r="V111" s="16"/>
      <c r="W111" s="15"/>
      <c r="X111" s="16"/>
      <c r="Y111" s="14"/>
      <c r="Z111" s="14"/>
      <c r="AA111" s="14"/>
      <c r="AB111" s="14"/>
      <c r="AC111" s="14"/>
      <c r="AD111" s="14"/>
      <c r="AE111" s="15"/>
      <c r="AF111" s="16"/>
      <c r="AG111" s="16"/>
      <c r="AH111" s="16"/>
      <c r="AI111" s="16"/>
      <c r="AJ111" s="15"/>
      <c r="AK111" s="16"/>
      <c r="AL111" s="15"/>
      <c r="AM111" s="16"/>
      <c r="AN111" s="15"/>
      <c r="AO111" s="16"/>
      <c r="AP111" s="16"/>
      <c r="AQ111" s="15"/>
      <c r="AR111" s="16"/>
      <c r="AS111" s="16"/>
      <c r="AT111" s="16"/>
      <c r="AU111" s="15"/>
      <c r="AV111" s="16"/>
      <c r="AW111" s="15"/>
      <c r="AX111" s="16"/>
      <c r="AY111" s="15"/>
      <c r="AZ111" s="16"/>
      <c r="BA111" s="16"/>
      <c r="BB111" s="17"/>
    </row>
    <row r="112" spans="1:54" x14ac:dyDescent="0.2">
      <c r="A112" s="238" t="s">
        <v>266</v>
      </c>
      <c r="B112" s="215"/>
      <c r="C112" s="14"/>
      <c r="D112" s="15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5"/>
      <c r="V112" s="16"/>
      <c r="W112" s="15"/>
      <c r="X112" s="16"/>
      <c r="Y112" s="14"/>
      <c r="Z112" s="14"/>
      <c r="AA112" s="14"/>
      <c r="AB112" s="14"/>
      <c r="AC112" s="14"/>
      <c r="AD112" s="14"/>
      <c r="AE112" s="15"/>
      <c r="AF112" s="16"/>
      <c r="AG112" s="16"/>
      <c r="AH112" s="16"/>
      <c r="AI112" s="16"/>
      <c r="AJ112" s="15"/>
      <c r="AK112" s="16"/>
      <c r="AL112" s="15"/>
      <c r="AM112" s="16"/>
      <c r="AN112" s="15"/>
      <c r="AO112" s="16"/>
      <c r="AP112" s="16"/>
      <c r="AQ112" s="15"/>
      <c r="AR112" s="16"/>
      <c r="AS112" s="16"/>
      <c r="AT112" s="16"/>
      <c r="AU112" s="15"/>
      <c r="AV112" s="16"/>
      <c r="AW112" s="15"/>
      <c r="AX112" s="16"/>
      <c r="AY112" s="15"/>
      <c r="AZ112" s="16"/>
      <c r="BA112" s="16"/>
      <c r="BB112" s="17"/>
    </row>
    <row r="113" spans="1:54" x14ac:dyDescent="0.2">
      <c r="A113" s="237" t="s">
        <v>267</v>
      </c>
      <c r="B113" s="215"/>
      <c r="C113" s="14"/>
      <c r="D113" s="15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5"/>
      <c r="V113" s="16"/>
      <c r="W113" s="15"/>
      <c r="X113" s="16"/>
      <c r="Y113" s="14"/>
      <c r="Z113" s="14"/>
      <c r="AA113" s="14"/>
      <c r="AB113" s="14"/>
      <c r="AC113" s="14"/>
      <c r="AD113" s="14"/>
      <c r="AE113" s="15"/>
      <c r="AF113" s="16"/>
      <c r="AG113" s="16"/>
      <c r="AH113" s="16"/>
      <c r="AI113" s="16"/>
      <c r="AJ113" s="15"/>
      <c r="AK113" s="16"/>
      <c r="AL113" s="15"/>
      <c r="AM113" s="16"/>
      <c r="AN113" s="15"/>
      <c r="AO113" s="16"/>
      <c r="AP113" s="16"/>
      <c r="AQ113" s="15"/>
      <c r="AR113" s="16"/>
      <c r="AS113" s="16"/>
      <c r="AT113" s="16"/>
      <c r="AU113" s="15"/>
      <c r="AV113" s="16"/>
      <c r="AW113" s="15"/>
      <c r="AX113" s="16"/>
      <c r="AY113" s="15"/>
      <c r="AZ113" s="16"/>
      <c r="BA113" s="16"/>
      <c r="BB113" s="17"/>
    </row>
    <row r="114" spans="1:54" x14ac:dyDescent="0.2">
      <c r="A114" s="239" t="s">
        <v>273</v>
      </c>
      <c r="B114" s="215"/>
      <c r="C114" s="14"/>
      <c r="D114" s="15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5"/>
      <c r="V114" s="16"/>
      <c r="W114" s="15"/>
      <c r="X114" s="16"/>
      <c r="Y114" s="14"/>
      <c r="Z114" s="14"/>
      <c r="AA114" s="14"/>
      <c r="AB114" s="14"/>
      <c r="AC114" s="14"/>
      <c r="AD114" s="14"/>
      <c r="AE114" s="15"/>
      <c r="AF114" s="16"/>
      <c r="AG114" s="16"/>
      <c r="AH114" s="16"/>
      <c r="AI114" s="16"/>
      <c r="AJ114" s="15"/>
      <c r="AK114" s="16"/>
      <c r="AL114" s="15"/>
      <c r="AM114" s="16"/>
      <c r="AN114" s="15"/>
      <c r="AO114" s="16"/>
      <c r="AP114" s="16"/>
      <c r="AQ114" s="15"/>
      <c r="AR114" s="16"/>
      <c r="AS114" s="16"/>
      <c r="AT114" s="16"/>
      <c r="AU114" s="15"/>
      <c r="AV114" s="16"/>
      <c r="AW114" s="15"/>
      <c r="AX114" s="16"/>
      <c r="AY114" s="15"/>
      <c r="AZ114" s="16"/>
      <c r="BA114" s="16"/>
      <c r="BB114" s="17"/>
    </row>
    <row r="115" spans="1:54" x14ac:dyDescent="0.2">
      <c r="A115" s="235" t="s">
        <v>252</v>
      </c>
      <c r="B115" s="215"/>
      <c r="C115" s="14"/>
      <c r="D115" s="15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5"/>
      <c r="V115" s="16"/>
      <c r="W115" s="15"/>
      <c r="X115" s="16"/>
      <c r="Y115" s="14"/>
      <c r="Z115" s="14"/>
      <c r="AA115" s="14"/>
      <c r="AB115" s="14"/>
      <c r="AC115" s="14"/>
      <c r="AD115" s="14"/>
      <c r="AE115" s="15"/>
      <c r="AF115" s="16"/>
      <c r="AG115" s="16"/>
      <c r="AH115" s="16"/>
      <c r="AI115" s="16"/>
      <c r="AJ115" s="15"/>
      <c r="AK115" s="16"/>
      <c r="AL115" s="15"/>
      <c r="AM115" s="16"/>
      <c r="AN115" s="15"/>
      <c r="AO115" s="16"/>
      <c r="AP115" s="16"/>
      <c r="AQ115" s="15"/>
      <c r="AR115" s="16"/>
      <c r="AS115" s="16"/>
      <c r="AT115" s="16"/>
      <c r="AU115" s="15"/>
      <c r="AV115" s="16"/>
      <c r="AW115" s="15"/>
      <c r="AX115" s="16"/>
      <c r="AY115" s="15"/>
      <c r="AZ115" s="16"/>
      <c r="BA115" s="16"/>
      <c r="BB115" s="17"/>
    </row>
    <row r="116" spans="1:54" x14ac:dyDescent="0.2">
      <c r="A116" s="213" t="s">
        <v>253</v>
      </c>
      <c r="B116" s="215"/>
      <c r="C116" s="14"/>
      <c r="D116" s="15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5"/>
      <c r="V116" s="16"/>
      <c r="W116" s="15"/>
      <c r="X116" s="16"/>
      <c r="Y116" s="14"/>
      <c r="Z116" s="14"/>
      <c r="AA116" s="14"/>
      <c r="AB116" s="14"/>
      <c r="AC116" s="14"/>
      <c r="AD116" s="14"/>
      <c r="AE116" s="15"/>
      <c r="AF116" s="16"/>
      <c r="AG116" s="16"/>
      <c r="AH116" s="16"/>
      <c r="AI116" s="16"/>
      <c r="AJ116" s="15"/>
      <c r="AK116" s="16"/>
      <c r="AL116" s="15"/>
      <c r="AM116" s="16"/>
      <c r="AN116" s="15"/>
      <c r="AO116" s="16"/>
      <c r="AP116" s="16"/>
      <c r="AQ116" s="15"/>
      <c r="AR116" s="16"/>
      <c r="AS116" s="16"/>
      <c r="AT116" s="16"/>
      <c r="AU116" s="15"/>
      <c r="AV116" s="16"/>
      <c r="AW116" s="15"/>
      <c r="AX116" s="16"/>
      <c r="AY116" s="15"/>
      <c r="AZ116" s="16"/>
      <c r="BA116" s="16"/>
      <c r="BB116" s="17"/>
    </row>
    <row r="117" spans="1:54" x14ac:dyDescent="0.2">
      <c r="A117" s="213" t="s">
        <v>254</v>
      </c>
      <c r="B117" s="215"/>
      <c r="C117" s="14"/>
      <c r="D117" s="15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5"/>
      <c r="V117" s="16"/>
      <c r="W117" s="15"/>
      <c r="X117" s="16"/>
      <c r="Y117" s="14"/>
      <c r="Z117" s="14"/>
      <c r="AA117" s="14"/>
      <c r="AB117" s="14"/>
      <c r="AC117" s="14"/>
      <c r="AD117" s="14"/>
      <c r="AE117" s="15"/>
      <c r="AF117" s="16"/>
      <c r="AG117" s="16"/>
      <c r="AH117" s="16"/>
      <c r="AI117" s="16"/>
      <c r="AJ117" s="15"/>
      <c r="AK117" s="16"/>
      <c r="AL117" s="15"/>
      <c r="AM117" s="16"/>
      <c r="AN117" s="15"/>
      <c r="AO117" s="16"/>
      <c r="AP117" s="16"/>
      <c r="AQ117" s="15"/>
      <c r="AR117" s="16"/>
      <c r="AS117" s="16"/>
      <c r="AT117" s="16"/>
      <c r="AU117" s="15"/>
      <c r="AV117" s="16"/>
      <c r="AW117" s="15"/>
      <c r="AX117" s="16"/>
      <c r="AY117" s="15"/>
      <c r="AZ117" s="16"/>
      <c r="BA117" s="16"/>
      <c r="BB117" s="17"/>
    </row>
    <row r="118" spans="1:54" x14ac:dyDescent="0.2">
      <c r="A118" s="217" t="s">
        <v>255</v>
      </c>
      <c r="B118" s="215"/>
      <c r="C118" s="14"/>
      <c r="D118" s="15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5"/>
      <c r="V118" s="16"/>
      <c r="W118" s="15"/>
      <c r="X118" s="16"/>
      <c r="Y118" s="14"/>
      <c r="Z118" s="14"/>
      <c r="AA118" s="14"/>
      <c r="AB118" s="14"/>
      <c r="AC118" s="14"/>
      <c r="AD118" s="14"/>
      <c r="AE118" s="15"/>
      <c r="AF118" s="16"/>
      <c r="AG118" s="16"/>
      <c r="AH118" s="16"/>
      <c r="AI118" s="16"/>
      <c r="AJ118" s="15"/>
      <c r="AK118" s="16"/>
      <c r="AL118" s="15"/>
      <c r="AM118" s="16"/>
      <c r="AN118" s="15"/>
      <c r="AO118" s="16"/>
      <c r="AP118" s="16"/>
      <c r="AQ118" s="15"/>
      <c r="AR118" s="16"/>
      <c r="AS118" s="16"/>
      <c r="AT118" s="16"/>
      <c r="AU118" s="15"/>
      <c r="AV118" s="16"/>
      <c r="AW118" s="15"/>
      <c r="AX118" s="16"/>
      <c r="AY118" s="15"/>
      <c r="AZ118" s="16"/>
      <c r="BA118" s="16"/>
      <c r="BB118" s="17"/>
    </row>
    <row r="119" spans="1:54" x14ac:dyDescent="0.2">
      <c r="A119" s="213" t="s">
        <v>256</v>
      </c>
      <c r="B119" s="215"/>
      <c r="C119" s="14"/>
      <c r="D119" s="15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5"/>
      <c r="V119" s="16"/>
      <c r="W119" s="15"/>
      <c r="X119" s="16"/>
      <c r="Y119" s="14"/>
      <c r="Z119" s="14"/>
      <c r="AA119" s="14"/>
      <c r="AB119" s="14"/>
      <c r="AC119" s="14"/>
      <c r="AD119" s="14"/>
      <c r="AE119" s="15"/>
      <c r="AF119" s="16"/>
      <c r="AG119" s="16"/>
      <c r="AH119" s="16"/>
      <c r="AI119" s="16"/>
      <c r="AJ119" s="15"/>
      <c r="AK119" s="16"/>
      <c r="AL119" s="15"/>
      <c r="AM119" s="16"/>
      <c r="AN119" s="15"/>
      <c r="AO119" s="16"/>
      <c r="AP119" s="16"/>
      <c r="AQ119" s="15"/>
      <c r="AR119" s="16"/>
      <c r="AS119" s="16"/>
      <c r="AT119" s="16"/>
      <c r="AU119" s="15"/>
      <c r="AV119" s="16"/>
      <c r="AW119" s="15"/>
      <c r="AX119" s="16"/>
      <c r="AY119" s="15"/>
      <c r="AZ119" s="16"/>
      <c r="BA119" s="16"/>
      <c r="BB119" s="17"/>
    </row>
    <row r="120" spans="1:54" ht="15" x14ac:dyDescent="0.25">
      <c r="A120" s="240" t="s">
        <v>268</v>
      </c>
      <c r="B120" s="215"/>
      <c r="C120" s="14"/>
      <c r="D120" s="15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5"/>
      <c r="V120" s="16"/>
      <c r="W120" s="15"/>
      <c r="X120" s="16"/>
      <c r="Y120" s="14"/>
      <c r="Z120" s="14"/>
      <c r="AA120" s="14"/>
      <c r="AB120" s="14"/>
      <c r="AC120" s="14"/>
      <c r="AD120" s="14"/>
      <c r="AE120" s="15"/>
      <c r="AF120" s="16"/>
      <c r="AG120" s="16"/>
      <c r="AH120" s="16"/>
      <c r="AI120" s="16"/>
      <c r="AJ120" s="15"/>
      <c r="AK120" s="16"/>
      <c r="AL120" s="15"/>
      <c r="AM120" s="16"/>
      <c r="AN120" s="15"/>
      <c r="AO120" s="16"/>
      <c r="AP120" s="16"/>
      <c r="AQ120" s="15"/>
      <c r="AR120" s="16"/>
      <c r="AS120" s="16"/>
      <c r="AT120" s="16"/>
      <c r="AU120" s="15"/>
      <c r="AV120" s="16"/>
      <c r="AW120" s="15"/>
      <c r="AX120" s="16"/>
      <c r="AY120" s="15"/>
      <c r="AZ120" s="16"/>
      <c r="BA120" s="16"/>
      <c r="BB120" s="17"/>
    </row>
    <row r="121" spans="1:54" x14ac:dyDescent="0.2">
      <c r="A121" s="218" t="s">
        <v>179</v>
      </c>
      <c r="B121" s="219"/>
      <c r="C121" s="219"/>
      <c r="D121" s="18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8"/>
      <c r="V121" s="19"/>
      <c r="W121" s="18"/>
      <c r="X121" s="19"/>
      <c r="Y121" s="219"/>
      <c r="Z121" s="219"/>
      <c r="AA121" s="219"/>
      <c r="AB121" s="219"/>
      <c r="AC121" s="219"/>
      <c r="AD121" s="219"/>
      <c r="AE121" s="18"/>
      <c r="AF121" s="19"/>
      <c r="AG121" s="19"/>
      <c r="AH121" s="19"/>
      <c r="AI121" s="19"/>
      <c r="AJ121" s="18"/>
      <c r="AK121" s="19"/>
      <c r="AL121" s="18"/>
      <c r="AM121" s="19"/>
      <c r="AN121" s="18"/>
      <c r="AO121" s="19"/>
      <c r="AP121" s="19"/>
      <c r="AQ121" s="18"/>
      <c r="AR121" s="19"/>
      <c r="AS121" s="19"/>
      <c r="AT121" s="19"/>
      <c r="AU121" s="18"/>
      <c r="AV121" s="19"/>
      <c r="AW121" s="18"/>
      <c r="AX121" s="19"/>
      <c r="AY121" s="18"/>
      <c r="AZ121" s="19"/>
      <c r="BA121" s="19"/>
      <c r="BB121" s="20"/>
    </row>
    <row r="122" spans="1:54" x14ac:dyDescent="0.2">
      <c r="A122" s="213" t="s">
        <v>231</v>
      </c>
      <c r="C122" s="14"/>
      <c r="D122" s="15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5"/>
      <c r="V122" s="16"/>
      <c r="W122" s="15"/>
      <c r="X122" s="16"/>
      <c r="Y122" s="14"/>
      <c r="Z122" s="14"/>
      <c r="AA122" s="14"/>
      <c r="AB122" s="14"/>
      <c r="AC122" s="14"/>
      <c r="AD122" s="14"/>
      <c r="AE122" s="15"/>
      <c r="AF122" s="16"/>
      <c r="AG122" s="16"/>
      <c r="AH122" s="16"/>
      <c r="AI122" s="16"/>
      <c r="AJ122" s="15"/>
      <c r="AK122" s="16"/>
      <c r="AL122" s="15"/>
      <c r="AM122" s="16"/>
      <c r="AN122" s="15"/>
      <c r="AO122" s="16"/>
      <c r="AP122" s="16"/>
      <c r="AQ122" s="15"/>
      <c r="AR122" s="16"/>
      <c r="AS122" s="16"/>
      <c r="AT122" s="16"/>
      <c r="AU122" s="15"/>
      <c r="AV122" s="16"/>
      <c r="AW122" s="15"/>
      <c r="AX122" s="16"/>
      <c r="AY122" s="15"/>
      <c r="AZ122" s="16"/>
      <c r="BA122" s="16"/>
      <c r="BB122" s="17"/>
    </row>
    <row r="123" spans="1:54" x14ac:dyDescent="0.2">
      <c r="A123" s="220" t="s">
        <v>180</v>
      </c>
      <c r="B123" s="219"/>
      <c r="C123" s="219"/>
      <c r="D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8"/>
      <c r="V123" s="19"/>
      <c r="W123" s="18"/>
      <c r="X123" s="19"/>
      <c r="Y123" s="219"/>
      <c r="Z123" s="219"/>
      <c r="AA123" s="219"/>
      <c r="AB123" s="219"/>
      <c r="AC123" s="219"/>
      <c r="AD123" s="219"/>
      <c r="AE123" s="18"/>
      <c r="AF123" s="19"/>
      <c r="AG123" s="19"/>
      <c r="AH123" s="19"/>
      <c r="AI123" s="19"/>
      <c r="AJ123" s="18"/>
      <c r="AK123" s="19"/>
      <c r="AL123" s="18"/>
      <c r="AM123" s="19"/>
      <c r="AN123" s="18"/>
      <c r="AO123" s="19"/>
      <c r="AP123" s="19"/>
      <c r="AQ123" s="18"/>
      <c r="AR123" s="19"/>
      <c r="AS123" s="19"/>
      <c r="AT123" s="19"/>
      <c r="AU123" s="18"/>
      <c r="AV123" s="19"/>
      <c r="AW123" s="18"/>
      <c r="AX123" s="19"/>
      <c r="AY123" s="18"/>
      <c r="AZ123" s="19"/>
      <c r="BA123" s="19"/>
      <c r="BB123" s="20"/>
    </row>
    <row r="124" spans="1:54" s="241" customFormat="1" x14ac:dyDescent="0.2">
      <c r="A124" s="221" t="s">
        <v>233</v>
      </c>
      <c r="B124" s="222"/>
      <c r="C124" s="222"/>
      <c r="D124" s="126"/>
      <c r="E124" s="127"/>
      <c r="F124" s="126"/>
      <c r="G124" s="127"/>
      <c r="H124" s="126"/>
      <c r="I124" s="127"/>
      <c r="J124" s="127"/>
      <c r="K124" s="127"/>
      <c r="L124" s="127"/>
      <c r="M124" s="127"/>
      <c r="N124" s="127"/>
      <c r="O124" s="127"/>
      <c r="P124" s="127"/>
      <c r="Q124" s="126"/>
      <c r="R124" s="127"/>
      <c r="S124" s="127"/>
      <c r="T124" s="127"/>
      <c r="U124" s="126"/>
      <c r="V124" s="127"/>
      <c r="W124" s="126"/>
      <c r="X124" s="127"/>
      <c r="Y124" s="222"/>
      <c r="Z124" s="222"/>
      <c r="AA124" s="222"/>
      <c r="AB124" s="222"/>
      <c r="AC124" s="222"/>
      <c r="AD124" s="222"/>
      <c r="AE124" s="126"/>
      <c r="AF124" s="127"/>
      <c r="AG124" s="127"/>
      <c r="AH124" s="127"/>
      <c r="AI124" s="127"/>
      <c r="AJ124" s="126"/>
      <c r="AK124" s="127"/>
      <c r="AL124" s="126"/>
      <c r="AM124" s="127"/>
      <c r="AN124" s="126"/>
      <c r="AO124" s="127"/>
      <c r="AP124" s="127"/>
      <c r="AQ124" s="126"/>
      <c r="AR124" s="127"/>
      <c r="AS124" s="127"/>
      <c r="AT124" s="127"/>
      <c r="AU124" s="126"/>
      <c r="AV124" s="127"/>
      <c r="AW124" s="126"/>
      <c r="AX124" s="127"/>
      <c r="AY124" s="126"/>
      <c r="AZ124" s="127"/>
      <c r="BA124" s="127"/>
      <c r="BB124" s="128"/>
    </row>
    <row r="125" spans="1:54" s="241" customFormat="1" x14ac:dyDescent="0.2">
      <c r="A125" s="223" t="s">
        <v>225</v>
      </c>
      <c r="B125" s="222"/>
      <c r="C125" s="222"/>
      <c r="D125" s="126"/>
      <c r="E125" s="127"/>
      <c r="F125" s="126"/>
      <c r="G125" s="127"/>
      <c r="H125" s="126"/>
      <c r="I125" s="127"/>
      <c r="J125" s="127"/>
      <c r="K125" s="127"/>
      <c r="L125" s="127"/>
      <c r="M125" s="127"/>
      <c r="N125" s="127"/>
      <c r="O125" s="127"/>
      <c r="P125" s="127"/>
      <c r="Q125" s="126"/>
      <c r="R125" s="127"/>
      <c r="S125" s="127"/>
      <c r="T125" s="127"/>
      <c r="U125" s="126"/>
      <c r="V125" s="127"/>
      <c r="W125" s="126"/>
      <c r="X125" s="127"/>
      <c r="Y125" s="222"/>
      <c r="Z125" s="222"/>
      <c r="AA125" s="222"/>
      <c r="AB125" s="222"/>
      <c r="AC125" s="222"/>
      <c r="AD125" s="222"/>
      <c r="AE125" s="126"/>
      <c r="AF125" s="127"/>
      <c r="AG125" s="127"/>
      <c r="AH125" s="127"/>
      <c r="AI125" s="127"/>
      <c r="AJ125" s="126"/>
      <c r="AK125" s="127"/>
      <c r="AL125" s="126"/>
      <c r="AM125" s="127"/>
      <c r="AN125" s="126"/>
      <c r="AO125" s="127"/>
      <c r="AP125" s="127"/>
      <c r="AQ125" s="126"/>
      <c r="AR125" s="127"/>
      <c r="AS125" s="127"/>
      <c r="AT125" s="127"/>
      <c r="AU125" s="126"/>
      <c r="AV125" s="127"/>
      <c r="AW125" s="126"/>
      <c r="AX125" s="127"/>
      <c r="AY125" s="126"/>
      <c r="AZ125" s="127"/>
      <c r="BA125" s="127"/>
      <c r="BB125" s="128"/>
    </row>
    <row r="126" spans="1:54" s="241" customFormat="1" x14ac:dyDescent="0.2">
      <c r="A126" s="242" t="s">
        <v>274</v>
      </c>
      <c r="B126" s="222"/>
      <c r="C126" s="222"/>
      <c r="D126" s="126"/>
      <c r="E126" s="127"/>
      <c r="F126" s="126"/>
      <c r="G126" s="127"/>
      <c r="H126" s="126"/>
      <c r="I126" s="127"/>
      <c r="J126" s="127"/>
      <c r="K126" s="127"/>
      <c r="L126" s="127"/>
      <c r="M126" s="127"/>
      <c r="N126" s="127"/>
      <c r="O126" s="127"/>
      <c r="P126" s="127"/>
      <c r="Q126" s="126"/>
      <c r="R126" s="127"/>
      <c r="S126" s="127"/>
      <c r="T126" s="127"/>
      <c r="U126" s="126"/>
      <c r="V126" s="127"/>
      <c r="W126" s="126"/>
      <c r="X126" s="127"/>
      <c r="Y126" s="222"/>
      <c r="Z126" s="222"/>
      <c r="AA126" s="222"/>
      <c r="AB126" s="222"/>
      <c r="AC126" s="222"/>
      <c r="AD126" s="222"/>
      <c r="AE126" s="126"/>
      <c r="AF126" s="127"/>
      <c r="AG126" s="127"/>
      <c r="AH126" s="127"/>
      <c r="AI126" s="127"/>
      <c r="AJ126" s="126"/>
      <c r="AK126" s="127"/>
      <c r="AL126" s="126"/>
      <c r="AM126" s="127"/>
      <c r="AN126" s="126"/>
      <c r="AO126" s="127"/>
      <c r="AP126" s="127"/>
      <c r="AQ126" s="126"/>
      <c r="AR126" s="127"/>
      <c r="AS126" s="127"/>
      <c r="AT126" s="127"/>
      <c r="AU126" s="126"/>
      <c r="AV126" s="127"/>
      <c r="AW126" s="126"/>
      <c r="AX126" s="127"/>
      <c r="AY126" s="126"/>
      <c r="AZ126" s="127"/>
      <c r="BA126" s="127"/>
      <c r="BB126" s="128"/>
    </row>
    <row r="127" spans="1:54" s="248" customFormat="1" x14ac:dyDescent="0.2">
      <c r="A127" s="243" t="s">
        <v>269</v>
      </c>
      <c r="B127" s="244"/>
      <c r="C127" s="244"/>
      <c r="D127" s="245"/>
      <c r="E127" s="246"/>
      <c r="F127" s="245"/>
      <c r="G127" s="246"/>
      <c r="H127" s="245"/>
      <c r="I127" s="246"/>
      <c r="J127" s="246"/>
      <c r="K127" s="246"/>
      <c r="L127" s="246"/>
      <c r="M127" s="246"/>
      <c r="N127" s="246"/>
      <c r="O127" s="246"/>
      <c r="P127" s="246"/>
      <c r="Q127" s="245"/>
      <c r="R127" s="246"/>
      <c r="S127" s="246"/>
      <c r="T127" s="246"/>
      <c r="U127" s="245"/>
      <c r="V127" s="246"/>
      <c r="W127" s="245"/>
      <c r="X127" s="246"/>
      <c r="Y127" s="244"/>
      <c r="Z127" s="244"/>
      <c r="AA127" s="244"/>
      <c r="AB127" s="244"/>
      <c r="AC127" s="244"/>
      <c r="AD127" s="244"/>
      <c r="AE127" s="245"/>
      <c r="AF127" s="246"/>
      <c r="AG127" s="246"/>
      <c r="AH127" s="246"/>
      <c r="AI127" s="246"/>
      <c r="AJ127" s="245"/>
      <c r="AK127" s="246"/>
      <c r="AL127" s="245"/>
      <c r="AM127" s="246"/>
      <c r="AN127" s="245"/>
      <c r="AO127" s="246"/>
      <c r="AP127" s="246"/>
      <c r="AQ127" s="245"/>
      <c r="AR127" s="246"/>
      <c r="AS127" s="246"/>
      <c r="AT127" s="246"/>
      <c r="AU127" s="245"/>
      <c r="AV127" s="246"/>
      <c r="AW127" s="245"/>
      <c r="AX127" s="246"/>
      <c r="AY127" s="245"/>
      <c r="AZ127" s="246"/>
      <c r="BA127" s="246"/>
      <c r="BB127" s="247"/>
    </row>
    <row r="128" spans="1:54" s="241" customFormat="1" x14ac:dyDescent="0.2">
      <c r="A128" s="249" t="s">
        <v>257</v>
      </c>
      <c r="B128" s="222"/>
      <c r="C128" s="222"/>
      <c r="D128" s="126"/>
      <c r="E128" s="127"/>
      <c r="F128" s="126"/>
      <c r="G128" s="127"/>
      <c r="H128" s="126"/>
      <c r="I128" s="127"/>
      <c r="J128" s="127"/>
      <c r="K128" s="127"/>
      <c r="L128" s="127"/>
      <c r="M128" s="127"/>
      <c r="N128" s="127"/>
      <c r="O128" s="127"/>
      <c r="P128" s="127"/>
      <c r="Q128" s="126"/>
      <c r="R128" s="127"/>
      <c r="S128" s="127"/>
      <c r="T128" s="127"/>
      <c r="U128" s="126"/>
      <c r="V128" s="127"/>
      <c r="W128" s="126"/>
      <c r="X128" s="127"/>
      <c r="Y128" s="222"/>
      <c r="Z128" s="222"/>
      <c r="AA128" s="222"/>
      <c r="AB128" s="222"/>
      <c r="AC128" s="222"/>
      <c r="AD128" s="222"/>
      <c r="AE128" s="126"/>
      <c r="AF128" s="127"/>
      <c r="AG128" s="127"/>
      <c r="AH128" s="127"/>
      <c r="AI128" s="127"/>
      <c r="AJ128" s="126"/>
      <c r="AK128" s="127"/>
      <c r="AL128" s="126"/>
      <c r="AM128" s="127"/>
      <c r="AN128" s="126"/>
      <c r="AO128" s="127"/>
      <c r="AP128" s="127"/>
      <c r="AQ128" s="126"/>
      <c r="AR128" s="127"/>
      <c r="AS128" s="127"/>
      <c r="AT128" s="127"/>
      <c r="AU128" s="126"/>
      <c r="AV128" s="127"/>
      <c r="AW128" s="126"/>
      <c r="AX128" s="127"/>
      <c r="AY128" s="126"/>
      <c r="AZ128" s="127"/>
      <c r="BA128" s="127"/>
      <c r="BB128" s="128"/>
    </row>
    <row r="129" spans="1:54" s="250" customFormat="1" x14ac:dyDescent="0.2">
      <c r="A129" s="218"/>
      <c r="B129" s="219"/>
      <c r="C129" s="219"/>
      <c r="D129" s="18"/>
      <c r="E129" s="19"/>
      <c r="F129" s="18"/>
      <c r="G129" s="19"/>
      <c r="H129" s="18"/>
      <c r="I129" s="19"/>
      <c r="J129" s="19"/>
      <c r="K129" s="19"/>
      <c r="L129" s="19"/>
      <c r="M129" s="19"/>
      <c r="N129" s="19"/>
      <c r="O129" s="19"/>
      <c r="P129" s="19"/>
      <c r="Q129" s="18"/>
      <c r="R129" s="19"/>
      <c r="S129" s="19"/>
      <c r="T129" s="19"/>
      <c r="U129" s="18"/>
      <c r="V129" s="19"/>
      <c r="W129" s="18"/>
      <c r="X129" s="19"/>
      <c r="Y129" s="219"/>
      <c r="Z129" s="219"/>
      <c r="AA129" s="219"/>
      <c r="AB129" s="219"/>
      <c r="AC129" s="219"/>
      <c r="AD129" s="219"/>
      <c r="AE129" s="18"/>
      <c r="AF129" s="19"/>
      <c r="AG129" s="19"/>
      <c r="AH129" s="19"/>
      <c r="AI129" s="19"/>
      <c r="AJ129" s="18"/>
      <c r="AK129" s="19"/>
      <c r="AL129" s="18"/>
      <c r="AM129" s="19"/>
      <c r="AN129" s="18"/>
      <c r="AO129" s="19"/>
      <c r="AP129" s="19"/>
      <c r="AQ129" s="18"/>
      <c r="AR129" s="19"/>
      <c r="AS129" s="19"/>
      <c r="AT129" s="19"/>
      <c r="AU129" s="18"/>
      <c r="AV129" s="19"/>
      <c r="AW129" s="18"/>
      <c r="AX129" s="19"/>
      <c r="AY129" s="18"/>
      <c r="AZ129" s="19"/>
      <c r="BA129" s="19"/>
      <c r="BB129" s="20"/>
    </row>
    <row r="130" spans="1:54" s="250" customFormat="1" x14ac:dyDescent="0.2">
      <c r="A130" s="263" t="s">
        <v>103</v>
      </c>
      <c r="B130" s="264"/>
      <c r="C130" s="265"/>
      <c r="D130" s="266"/>
      <c r="E130" s="267"/>
      <c r="F130" s="266"/>
      <c r="G130" s="267"/>
      <c r="H130" s="266"/>
      <c r="I130" s="267"/>
      <c r="J130" s="267"/>
      <c r="K130" s="267"/>
      <c r="L130" s="267"/>
      <c r="M130" s="267"/>
      <c r="N130" s="267"/>
      <c r="O130" s="267"/>
      <c r="P130" s="267"/>
      <c r="Q130" s="266"/>
      <c r="R130" s="267"/>
      <c r="S130" s="267"/>
      <c r="T130" s="267"/>
      <c r="U130" s="266"/>
      <c r="V130" s="267"/>
      <c r="W130" s="266"/>
      <c r="X130" s="267"/>
      <c r="Y130" s="264"/>
      <c r="Z130" s="264"/>
      <c r="AA130" s="264"/>
      <c r="AB130" s="264"/>
      <c r="AC130" s="264"/>
      <c r="AD130" s="264"/>
      <c r="AE130" s="266"/>
      <c r="AF130" s="267"/>
      <c r="AG130" s="267"/>
      <c r="AH130" s="267"/>
      <c r="AI130" s="267"/>
      <c r="AJ130" s="266"/>
      <c r="AK130" s="267"/>
      <c r="AL130" s="266"/>
      <c r="AM130" s="267"/>
      <c r="AN130" s="266"/>
      <c r="AO130" s="267"/>
      <c r="AP130" s="267"/>
      <c r="AQ130" s="266"/>
      <c r="AR130" s="267"/>
      <c r="AS130" s="267"/>
      <c r="AT130" s="267"/>
      <c r="AU130" s="266"/>
      <c r="AV130" s="267"/>
      <c r="AW130" s="266"/>
      <c r="AX130" s="267"/>
      <c r="AY130" s="266"/>
      <c r="AZ130" s="267"/>
      <c r="BA130" s="267"/>
      <c r="BB130" s="268"/>
    </row>
    <row r="131" spans="1:54" x14ac:dyDescent="0.2">
      <c r="A131" s="269" t="s">
        <v>113</v>
      </c>
      <c r="B131" s="270"/>
      <c r="C131" s="270"/>
      <c r="D131" s="270"/>
      <c r="E131" s="270"/>
      <c r="F131" s="271"/>
      <c r="G131" s="270"/>
      <c r="H131" s="271"/>
      <c r="I131" s="270"/>
      <c r="J131" s="270"/>
      <c r="K131" s="270"/>
      <c r="L131" s="270"/>
      <c r="M131" s="270"/>
      <c r="N131" s="270"/>
      <c r="O131" s="270"/>
      <c r="P131" s="270"/>
      <c r="Q131" s="271"/>
      <c r="R131" s="270"/>
      <c r="S131" s="270"/>
      <c r="T131" s="270"/>
      <c r="U131" s="270"/>
      <c r="V131" s="270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270"/>
      <c r="AI131" s="270"/>
      <c r="AJ131" s="272"/>
      <c r="AK131" s="270"/>
      <c r="AL131" s="272"/>
      <c r="AM131" s="270"/>
      <c r="AN131" s="271"/>
      <c r="AO131" s="270"/>
      <c r="AP131" s="270"/>
      <c r="AQ131" s="271"/>
      <c r="AR131" s="270"/>
      <c r="AS131" s="270"/>
      <c r="AT131" s="270"/>
      <c r="AU131" s="271"/>
      <c r="AV131" s="270"/>
      <c r="AW131" s="273"/>
      <c r="AX131" s="270"/>
      <c r="AY131" s="271"/>
      <c r="AZ131" s="274"/>
      <c r="BA131" s="270"/>
      <c r="BB131" s="275"/>
    </row>
    <row r="132" spans="1:54" x14ac:dyDescent="0.2">
      <c r="A132" s="276"/>
      <c r="B132" s="277"/>
      <c r="C132" s="278"/>
      <c r="D132" s="279"/>
      <c r="E132" s="280"/>
      <c r="F132" s="279"/>
      <c r="G132" s="280"/>
      <c r="H132" s="279"/>
      <c r="I132" s="280"/>
      <c r="J132" s="280"/>
      <c r="K132" s="280"/>
      <c r="L132" s="280"/>
      <c r="M132" s="280"/>
      <c r="N132" s="280"/>
      <c r="O132" s="280"/>
      <c r="P132" s="280"/>
      <c r="Q132" s="279"/>
      <c r="R132" s="280"/>
      <c r="S132" s="280"/>
      <c r="T132" s="280"/>
      <c r="U132" s="279"/>
      <c r="V132" s="280"/>
      <c r="W132" s="279"/>
      <c r="X132" s="280"/>
      <c r="Y132" s="277"/>
      <c r="Z132" s="277"/>
      <c r="AA132" s="277"/>
      <c r="AB132" s="277"/>
      <c r="AC132" s="277"/>
      <c r="AD132" s="277"/>
      <c r="AE132" s="279"/>
      <c r="AF132" s="280"/>
      <c r="AG132" s="280"/>
      <c r="AH132" s="280"/>
      <c r="AI132" s="280"/>
      <c r="AJ132" s="279"/>
      <c r="AK132" s="280"/>
      <c r="AL132" s="279"/>
      <c r="AM132" s="280"/>
      <c r="AN132" s="279"/>
      <c r="AO132" s="280"/>
      <c r="AP132" s="280"/>
      <c r="AQ132" s="279"/>
      <c r="AR132" s="280"/>
      <c r="AS132" s="280"/>
      <c r="AT132" s="280"/>
      <c r="AU132" s="279"/>
      <c r="AV132" s="280"/>
      <c r="AW132" s="279"/>
      <c r="AX132" s="280"/>
      <c r="AY132" s="279"/>
      <c r="AZ132" s="280"/>
      <c r="BA132" s="280"/>
      <c r="BB132" s="281"/>
    </row>
    <row r="133" spans="1:54" x14ac:dyDescent="0.2">
      <c r="A133" s="21" t="s">
        <v>128</v>
      </c>
      <c r="B133" s="22"/>
      <c r="C133" s="23"/>
      <c r="D133" s="24"/>
      <c r="E133" s="25"/>
      <c r="F133" s="24"/>
      <c r="G133" s="25"/>
      <c r="H133" s="24"/>
      <c r="I133" s="25"/>
      <c r="J133" s="25"/>
      <c r="K133" s="25"/>
      <c r="L133" s="25"/>
      <c r="M133" s="25"/>
      <c r="N133" s="25"/>
      <c r="O133" s="25"/>
      <c r="P133" s="25"/>
      <c r="Q133" s="24"/>
      <c r="R133" s="25"/>
      <c r="S133" s="25"/>
      <c r="T133" s="25"/>
      <c r="U133" s="24"/>
      <c r="V133" s="25"/>
      <c r="W133" s="24"/>
      <c r="X133" s="25"/>
      <c r="Y133" s="22"/>
      <c r="Z133" s="22"/>
      <c r="AA133" s="22"/>
      <c r="AB133" s="22"/>
      <c r="AC133" s="22"/>
      <c r="AD133" s="22"/>
      <c r="AE133" s="24"/>
      <c r="AF133" s="25"/>
      <c r="AG133" s="25"/>
      <c r="AH133" s="25"/>
      <c r="AI133" s="25"/>
      <c r="AJ133" s="24"/>
      <c r="AK133" s="25"/>
      <c r="AL133" s="24"/>
      <c r="AM133" s="25"/>
      <c r="AN133" s="24"/>
      <c r="AO133" s="25"/>
      <c r="AP133" s="25"/>
      <c r="AQ133" s="24"/>
      <c r="AR133" s="25"/>
      <c r="AS133" s="25"/>
      <c r="AT133" s="25"/>
      <c r="AU133" s="24"/>
      <c r="AV133" s="25"/>
      <c r="AW133" s="24"/>
      <c r="AX133" s="25"/>
      <c r="AY133" s="24"/>
      <c r="AZ133" s="25"/>
      <c r="BA133" s="25"/>
      <c r="BB133" s="26"/>
    </row>
    <row r="134" spans="1:54" x14ac:dyDescent="0.2">
      <c r="A134" s="224" t="s">
        <v>129</v>
      </c>
      <c r="B134" s="225"/>
      <c r="C134" s="225"/>
      <c r="D134" s="225"/>
      <c r="E134" s="225"/>
      <c r="F134" s="27"/>
      <c r="G134" s="225"/>
      <c r="H134" s="27"/>
      <c r="I134" s="225"/>
      <c r="J134" s="225"/>
      <c r="K134" s="225"/>
      <c r="L134" s="225"/>
      <c r="M134" s="225"/>
      <c r="N134" s="225"/>
      <c r="O134" s="225"/>
      <c r="P134" s="225"/>
      <c r="Q134" s="27"/>
      <c r="R134" s="225"/>
      <c r="S134" s="225"/>
      <c r="T134" s="225"/>
      <c r="U134" s="225"/>
      <c r="V134" s="225"/>
      <c r="W134" s="225"/>
      <c r="X134" s="225"/>
      <c r="Y134" s="225"/>
      <c r="Z134" s="225"/>
      <c r="AA134" s="225"/>
      <c r="AB134" s="225"/>
      <c r="AC134" s="225"/>
      <c r="AD134" s="225"/>
      <c r="AE134" s="225"/>
      <c r="AF134" s="225"/>
      <c r="AG134" s="225"/>
      <c r="AH134" s="225"/>
      <c r="AI134" s="225"/>
      <c r="AJ134" s="226"/>
      <c r="AK134" s="225"/>
      <c r="AL134" s="226"/>
      <c r="AM134" s="225"/>
      <c r="AN134" s="27"/>
      <c r="AO134" s="225"/>
      <c r="AP134" s="225"/>
      <c r="AQ134" s="27"/>
      <c r="AR134" s="225"/>
      <c r="AS134" s="225"/>
      <c r="AT134" s="225"/>
      <c r="AU134" s="27"/>
      <c r="AV134" s="225"/>
      <c r="AW134" s="282"/>
      <c r="AX134" s="225"/>
      <c r="AY134" s="27"/>
      <c r="AZ134" s="129"/>
      <c r="BA134" s="225"/>
      <c r="BB134" s="28"/>
    </row>
    <row r="135" spans="1:54" x14ac:dyDescent="0.2">
      <c r="A135" s="224" t="s">
        <v>130</v>
      </c>
      <c r="B135" s="225"/>
      <c r="C135" s="225"/>
      <c r="D135" s="225"/>
      <c r="E135" s="225"/>
      <c r="F135" s="27"/>
      <c r="G135" s="225"/>
      <c r="H135" s="27"/>
      <c r="I135" s="225"/>
      <c r="J135" s="225"/>
      <c r="K135" s="225"/>
      <c r="L135" s="225"/>
      <c r="M135" s="225"/>
      <c r="N135" s="225"/>
      <c r="O135" s="225"/>
      <c r="P135" s="225"/>
      <c r="Q135" s="27"/>
      <c r="R135" s="225"/>
      <c r="S135" s="225"/>
      <c r="T135" s="225"/>
      <c r="U135" s="225"/>
      <c r="V135" s="225"/>
      <c r="W135" s="225"/>
      <c r="X135" s="225"/>
      <c r="Y135" s="225"/>
      <c r="Z135" s="225"/>
      <c r="AA135" s="225"/>
      <c r="AB135" s="225"/>
      <c r="AC135" s="225"/>
      <c r="AD135" s="225"/>
      <c r="AE135" s="225"/>
      <c r="AF135" s="225"/>
      <c r="AG135" s="225"/>
      <c r="AH135" s="225"/>
      <c r="AI135" s="225"/>
      <c r="AJ135" s="226"/>
      <c r="AK135" s="225"/>
      <c r="AL135" s="226"/>
      <c r="AM135" s="225"/>
      <c r="AN135" s="27"/>
      <c r="AO135" s="225"/>
      <c r="AP135" s="225"/>
      <c r="AQ135" s="27"/>
      <c r="AR135" s="225"/>
      <c r="AS135" s="225"/>
      <c r="AT135" s="225"/>
      <c r="AU135" s="27"/>
      <c r="AV135" s="225"/>
      <c r="AW135" s="282"/>
      <c r="AX135" s="225"/>
      <c r="AY135" s="27"/>
      <c r="AZ135" s="129"/>
      <c r="BA135" s="225"/>
      <c r="BB135" s="28"/>
    </row>
    <row r="136" spans="1:54" x14ac:dyDescent="0.2">
      <c r="A136" s="224" t="s">
        <v>131</v>
      </c>
      <c r="B136" s="225"/>
      <c r="C136" s="225"/>
      <c r="D136" s="225"/>
      <c r="E136" s="225"/>
      <c r="F136" s="27"/>
      <c r="G136" s="225"/>
      <c r="H136" s="27"/>
      <c r="I136" s="225"/>
      <c r="J136" s="225"/>
      <c r="K136" s="225"/>
      <c r="L136" s="225"/>
      <c r="M136" s="225"/>
      <c r="N136" s="225"/>
      <c r="O136" s="225"/>
      <c r="P136" s="225"/>
      <c r="Q136" s="27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25"/>
      <c r="AF136" s="225"/>
      <c r="AG136" s="225"/>
      <c r="AH136" s="225"/>
      <c r="AI136" s="225"/>
      <c r="AJ136" s="226"/>
      <c r="AK136" s="225"/>
      <c r="AL136" s="226"/>
      <c r="AM136" s="225"/>
      <c r="AN136" s="27"/>
      <c r="AO136" s="225"/>
      <c r="AP136" s="225"/>
      <c r="AQ136" s="27"/>
      <c r="AR136" s="225"/>
      <c r="AS136" s="225"/>
      <c r="AT136" s="225"/>
      <c r="AU136" s="27"/>
      <c r="AV136" s="225"/>
      <c r="AW136" s="282"/>
      <c r="AX136" s="225"/>
      <c r="AY136" s="27"/>
      <c r="AZ136" s="129"/>
      <c r="BA136" s="225"/>
      <c r="BB136" s="28"/>
    </row>
    <row r="137" spans="1:54" x14ac:dyDescent="0.2">
      <c r="A137" s="224" t="s">
        <v>132</v>
      </c>
      <c r="B137" s="225"/>
      <c r="C137" s="225"/>
      <c r="D137" s="225"/>
      <c r="E137" s="225"/>
      <c r="F137" s="27"/>
      <c r="G137" s="225"/>
      <c r="H137" s="27"/>
      <c r="I137" s="225"/>
      <c r="J137" s="225"/>
      <c r="K137" s="225"/>
      <c r="L137" s="225"/>
      <c r="M137" s="225"/>
      <c r="N137" s="225"/>
      <c r="O137" s="225"/>
      <c r="P137" s="225"/>
      <c r="Q137" s="27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  <c r="AH137" s="225"/>
      <c r="AI137" s="225"/>
      <c r="AJ137" s="226"/>
      <c r="AK137" s="225"/>
      <c r="AL137" s="226"/>
      <c r="AM137" s="225"/>
      <c r="AN137" s="27"/>
      <c r="AO137" s="225"/>
      <c r="AP137" s="225"/>
      <c r="AQ137" s="27"/>
      <c r="AR137" s="225"/>
      <c r="AS137" s="225"/>
      <c r="AT137" s="225"/>
      <c r="AU137" s="27"/>
      <c r="AV137" s="225"/>
      <c r="AW137" s="282"/>
      <c r="AX137" s="225"/>
      <c r="AY137" s="27"/>
      <c r="AZ137" s="129"/>
      <c r="BA137" s="225"/>
      <c r="BB137" s="28"/>
    </row>
    <row r="138" spans="1:54" x14ac:dyDescent="0.2">
      <c r="A138" s="224" t="s">
        <v>133</v>
      </c>
      <c r="B138" s="225"/>
      <c r="C138" s="225"/>
      <c r="D138" s="225"/>
      <c r="E138" s="225"/>
      <c r="F138" s="27"/>
      <c r="G138" s="225"/>
      <c r="H138" s="27"/>
      <c r="I138" s="225"/>
      <c r="J138" s="225"/>
      <c r="K138" s="225"/>
      <c r="L138" s="225"/>
      <c r="M138" s="225"/>
      <c r="N138" s="225"/>
      <c r="O138" s="225"/>
      <c r="P138" s="225"/>
      <c r="Q138" s="27"/>
      <c r="R138" s="225"/>
      <c r="S138" s="225"/>
      <c r="T138" s="225"/>
      <c r="U138" s="225"/>
      <c r="V138" s="225"/>
      <c r="W138" s="225"/>
      <c r="X138" s="225"/>
      <c r="Y138" s="225"/>
      <c r="Z138" s="225"/>
      <c r="AA138" s="225"/>
      <c r="AB138" s="225"/>
      <c r="AC138" s="225"/>
      <c r="AD138" s="225"/>
      <c r="AE138" s="225"/>
      <c r="AF138" s="225"/>
      <c r="AG138" s="225"/>
      <c r="AH138" s="225"/>
      <c r="AI138" s="225"/>
      <c r="AJ138" s="226"/>
      <c r="AK138" s="225"/>
      <c r="AL138" s="226"/>
      <c r="AM138" s="225"/>
      <c r="AN138" s="27"/>
      <c r="AO138" s="225"/>
      <c r="AP138" s="225"/>
      <c r="AQ138" s="27"/>
      <c r="AR138" s="225"/>
      <c r="AS138" s="225"/>
      <c r="AT138" s="225"/>
      <c r="AU138" s="27"/>
      <c r="AV138" s="225"/>
      <c r="AW138" s="282"/>
      <c r="AX138" s="225"/>
      <c r="AY138" s="27"/>
      <c r="AZ138" s="129"/>
      <c r="BA138" s="225"/>
      <c r="BB138" s="28"/>
    </row>
    <row r="139" spans="1:54" x14ac:dyDescent="0.2">
      <c r="A139" s="29"/>
      <c r="B139" s="30"/>
      <c r="C139" s="31"/>
      <c r="D139" s="32"/>
      <c r="E139" s="33"/>
      <c r="F139" s="32"/>
      <c r="G139" s="33"/>
      <c r="H139" s="32"/>
      <c r="I139" s="33"/>
      <c r="J139" s="33"/>
      <c r="K139" s="33"/>
      <c r="L139" s="33"/>
      <c r="M139" s="33"/>
      <c r="N139" s="33"/>
      <c r="O139" s="33"/>
      <c r="P139" s="33"/>
      <c r="Q139" s="32"/>
      <c r="R139" s="33"/>
      <c r="S139" s="33"/>
      <c r="T139" s="33"/>
      <c r="U139" s="32"/>
      <c r="V139" s="33"/>
      <c r="W139" s="32"/>
      <c r="X139" s="33"/>
      <c r="Y139" s="30"/>
      <c r="Z139" s="30"/>
      <c r="AA139" s="30"/>
      <c r="AB139" s="30"/>
      <c r="AC139" s="30"/>
      <c r="AD139" s="30"/>
      <c r="AE139" s="32"/>
      <c r="AF139" s="33"/>
      <c r="AG139" s="33"/>
      <c r="AH139" s="33"/>
      <c r="AI139" s="33"/>
      <c r="AJ139" s="32"/>
      <c r="AK139" s="33"/>
      <c r="AL139" s="32"/>
      <c r="AM139" s="33"/>
      <c r="AN139" s="32"/>
      <c r="AO139" s="33"/>
      <c r="AP139" s="33"/>
      <c r="AQ139" s="32"/>
      <c r="AR139" s="33"/>
      <c r="AS139" s="33"/>
      <c r="AT139" s="33"/>
      <c r="AU139" s="32"/>
      <c r="AV139" s="33"/>
      <c r="AW139" s="32"/>
      <c r="AX139" s="33"/>
      <c r="AY139" s="32"/>
      <c r="AZ139" s="33"/>
      <c r="BA139" s="33"/>
      <c r="BB139" s="34"/>
    </row>
  </sheetData>
  <sheetProtection algorithmName="SHA-512" hashValue="VHeNM9Ju1enBetobEkcvhQznt4NHtEzj54yfnq/UWEaleFgG6sydYaBGDz6/IPwMsvx0uVeaf+6tp5BbiX1dmQ==" saltValue="OphQdLPx5j6rvLLSUPxE/Q==" spinCount="100000" sheet="1" formatCells="0" formatColumns="0" formatRows="0"/>
  <sortState xmlns:xlrd2="http://schemas.microsoft.com/office/spreadsheetml/2017/richdata2" ref="A89:C97">
    <sortCondition ref="A89"/>
  </sortState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3622047244094491" right="0.23622047244094491" top="0.19685039370078741" bottom="0.27559055118110237" header="0.11811023622047245" footer="0.15748031496062992"/>
  <pageSetup paperSize="9" scale="58" fitToHeight="100" orientation="landscape" r:id="rId1"/>
  <headerFooter alignWithMargins="0">
    <oddFooter>Page &amp;P of &amp;N</oddFooter>
  </headerFooter>
  <rowBreaks count="1" manualBreakCount="1">
    <brk id="55" max="51" man="1"/>
  </rowBreaks>
  <colBreaks count="3" manualBreakCount="3">
    <brk id="16" max="103" man="1"/>
    <brk id="30" max="103" man="1"/>
    <brk id="42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4"/>
  <sheetViews>
    <sheetView zoomScale="80" zoomScaleNormal="80" workbookViewId="0">
      <pane ySplit="3" topLeftCell="A4" activePane="bottomLeft" state="frozen"/>
      <selection pane="bottomLeft"/>
    </sheetView>
  </sheetViews>
  <sheetFormatPr defaultColWidth="11.42578125" defaultRowHeight="15" x14ac:dyDescent="0.25"/>
  <cols>
    <col min="1" max="1" width="33.28515625" style="192" customWidth="1"/>
    <col min="2" max="2" width="5.5703125" style="205" bestFit="1" customWidth="1"/>
    <col min="3" max="3" width="9.85546875" style="206" customWidth="1"/>
    <col min="4" max="4" width="10.28515625" style="206" customWidth="1"/>
    <col min="5" max="5" width="9.42578125" style="206" bestFit="1" customWidth="1"/>
    <col min="6" max="6" width="12.42578125" style="206" customWidth="1"/>
    <col min="7" max="7" width="9.28515625" style="206" customWidth="1"/>
    <col min="8" max="8" width="12.28515625" style="206" customWidth="1"/>
    <col min="9" max="9" width="8.140625" style="206" bestFit="1" customWidth="1"/>
    <col min="10" max="10" width="9.5703125" style="207" customWidth="1"/>
    <col min="11" max="12" width="11.42578125" style="183"/>
    <col min="13" max="13" width="14.85546875" style="208" bestFit="1" customWidth="1"/>
    <col min="14" max="14" width="9.85546875" style="208" bestFit="1" customWidth="1"/>
    <col min="15" max="16" width="9.28515625" style="208" bestFit="1" customWidth="1"/>
    <col min="17" max="19" width="10.7109375" style="208" bestFit="1" customWidth="1"/>
    <col min="20" max="16384" width="11.42578125" style="194"/>
  </cols>
  <sheetData>
    <row r="1" spans="1:19" s="192" customFormat="1" ht="45" x14ac:dyDescent="0.25">
      <c r="A1" s="286" t="s">
        <v>226</v>
      </c>
      <c r="B1" s="287"/>
      <c r="C1" s="288">
        <v>1204</v>
      </c>
      <c r="D1" s="287">
        <v>3604</v>
      </c>
      <c r="E1" s="287">
        <v>4076</v>
      </c>
      <c r="F1" s="287">
        <v>3620</v>
      </c>
      <c r="G1" s="288" t="s">
        <v>142</v>
      </c>
      <c r="H1" s="287">
        <v>4561</v>
      </c>
      <c r="I1" s="287" t="s">
        <v>143</v>
      </c>
      <c r="J1" s="289" t="s">
        <v>144</v>
      </c>
      <c r="K1" s="290" t="s">
        <v>145</v>
      </c>
      <c r="L1" s="290" t="s">
        <v>146</v>
      </c>
      <c r="M1" s="289" t="s">
        <v>147</v>
      </c>
      <c r="N1" s="289" t="s">
        <v>148</v>
      </c>
      <c r="O1" s="289" t="s">
        <v>149</v>
      </c>
      <c r="P1" s="289" t="s">
        <v>150</v>
      </c>
      <c r="Q1" s="289" t="s">
        <v>151</v>
      </c>
      <c r="R1" s="289" t="s">
        <v>152</v>
      </c>
      <c r="S1" s="289" t="s">
        <v>219</v>
      </c>
    </row>
    <row r="2" spans="1:19" s="193" customFormat="1" ht="30" x14ac:dyDescent="0.25">
      <c r="A2" s="291" t="s">
        <v>227</v>
      </c>
      <c r="B2" s="292"/>
      <c r="C2" s="293">
        <v>30</v>
      </c>
      <c r="D2" s="292">
        <v>77</v>
      </c>
      <c r="E2" s="292">
        <v>19.100000000000001</v>
      </c>
      <c r="F2" s="292">
        <v>50</v>
      </c>
      <c r="G2" s="293">
        <v>7.5</v>
      </c>
      <c r="H2" s="292" t="s">
        <v>228</v>
      </c>
      <c r="I2" s="292"/>
      <c r="J2" s="294"/>
      <c r="K2" s="289"/>
      <c r="L2" s="289"/>
      <c r="M2" s="289"/>
      <c r="N2" s="289"/>
      <c r="O2" s="289"/>
      <c r="P2" s="289"/>
      <c r="Q2" s="289"/>
      <c r="R2" s="289"/>
      <c r="S2" s="289"/>
    </row>
    <row r="3" spans="1:19" s="192" customFormat="1" x14ac:dyDescent="0.25">
      <c r="A3" s="286"/>
      <c r="B3" s="287"/>
      <c r="C3" s="288" t="s">
        <v>153</v>
      </c>
      <c r="D3" s="287" t="s">
        <v>154</v>
      </c>
      <c r="E3" s="287" t="s">
        <v>155</v>
      </c>
      <c r="F3" s="287" t="s">
        <v>156</v>
      </c>
      <c r="G3" s="288"/>
      <c r="H3" s="287" t="s">
        <v>157</v>
      </c>
      <c r="I3" s="287"/>
      <c r="J3" s="295"/>
      <c r="K3" s="290"/>
      <c r="L3" s="290"/>
      <c r="M3" s="289"/>
      <c r="N3" s="289"/>
      <c r="O3" s="289"/>
      <c r="P3" s="289"/>
      <c r="Q3" s="289"/>
      <c r="R3" s="289"/>
      <c r="S3" s="289"/>
    </row>
    <row r="4" spans="1:19" x14ac:dyDescent="0.25">
      <c r="A4" s="171" t="s">
        <v>158</v>
      </c>
      <c r="B4" s="172">
        <v>2022</v>
      </c>
      <c r="C4" s="173">
        <v>15.792</v>
      </c>
      <c r="D4" s="173">
        <v>22.372</v>
      </c>
      <c r="E4" s="173">
        <v>18.256</v>
      </c>
      <c r="F4" s="173">
        <v>15.052</v>
      </c>
      <c r="G4" s="173"/>
      <c r="H4" s="173">
        <v>21.05</v>
      </c>
      <c r="I4" s="173"/>
      <c r="J4" s="174"/>
      <c r="K4" s="173"/>
      <c r="L4" s="173"/>
      <c r="M4" s="175"/>
      <c r="N4" s="175"/>
      <c r="O4" s="175"/>
      <c r="P4" s="175"/>
      <c r="Q4" s="175"/>
      <c r="R4" s="175"/>
      <c r="S4" s="175"/>
    </row>
    <row r="5" spans="1:19" x14ac:dyDescent="0.25">
      <c r="A5" s="195" t="s">
        <v>158</v>
      </c>
      <c r="B5" s="196">
        <v>2023</v>
      </c>
      <c r="C5" s="176">
        <v>16.707999999999998</v>
      </c>
      <c r="D5" s="176">
        <v>23.67</v>
      </c>
      <c r="E5" s="176">
        <v>19.315000000000001</v>
      </c>
      <c r="F5" s="176">
        <v>15.925000000000001</v>
      </c>
      <c r="G5" s="176"/>
      <c r="H5" s="176">
        <v>22.271000000000001</v>
      </c>
      <c r="I5" s="176"/>
      <c r="J5" s="177"/>
      <c r="K5" s="176"/>
      <c r="L5" s="176"/>
      <c r="M5" s="178"/>
      <c r="N5" s="178"/>
      <c r="O5" s="178"/>
      <c r="P5" s="178"/>
      <c r="Q5" s="178"/>
      <c r="R5" s="178"/>
      <c r="S5" s="178"/>
    </row>
    <row r="6" spans="1:19" x14ac:dyDescent="0.25">
      <c r="A6" s="171" t="s">
        <v>220</v>
      </c>
      <c r="B6" s="172">
        <v>2022</v>
      </c>
      <c r="C6" s="173">
        <v>15.49</v>
      </c>
      <c r="D6" s="173">
        <v>22.02</v>
      </c>
      <c r="E6" s="173">
        <v>17.829999999999998</v>
      </c>
      <c r="F6" s="173">
        <v>14.81</v>
      </c>
      <c r="G6" s="173">
        <v>25.227</v>
      </c>
      <c r="H6" s="173">
        <v>20.75</v>
      </c>
      <c r="I6" s="173"/>
      <c r="J6" s="174"/>
      <c r="K6" s="173"/>
      <c r="L6" s="173"/>
      <c r="M6" s="175"/>
      <c r="N6" s="175"/>
      <c r="O6" s="175"/>
      <c r="P6" s="175"/>
      <c r="Q6" s="175"/>
      <c r="R6" s="175"/>
      <c r="S6" s="175"/>
    </row>
    <row r="7" spans="1:19" x14ac:dyDescent="0.25">
      <c r="A7" s="195" t="s">
        <v>220</v>
      </c>
      <c r="B7" s="196">
        <v>2023</v>
      </c>
      <c r="C7" s="176">
        <v>16.45</v>
      </c>
      <c r="D7" s="176">
        <v>23.38</v>
      </c>
      <c r="E7" s="176">
        <v>18.93</v>
      </c>
      <c r="F7" s="176">
        <v>15.72</v>
      </c>
      <c r="G7" s="176">
        <v>26.7</v>
      </c>
      <c r="H7" s="176">
        <v>22.03</v>
      </c>
      <c r="I7" s="176"/>
      <c r="J7" s="177"/>
      <c r="K7" s="176"/>
      <c r="L7" s="176"/>
      <c r="M7" s="178"/>
      <c r="N7" s="178"/>
      <c r="O7" s="178"/>
      <c r="P7" s="178"/>
      <c r="Q7" s="178"/>
      <c r="R7" s="178"/>
      <c r="S7" s="178"/>
    </row>
    <row r="8" spans="1:19" x14ac:dyDescent="0.25">
      <c r="A8" s="171" t="s">
        <v>160</v>
      </c>
      <c r="B8" s="172">
        <v>2022</v>
      </c>
      <c r="C8" s="173">
        <v>15.304</v>
      </c>
      <c r="D8" s="173">
        <v>21.681000000000001</v>
      </c>
      <c r="E8" s="173">
        <v>13.983000000000001</v>
      </c>
      <c r="F8" s="173">
        <v>14.589</v>
      </c>
      <c r="G8" s="173">
        <v>0</v>
      </c>
      <c r="H8" s="173">
        <v>19.832000000000001</v>
      </c>
      <c r="I8" s="173"/>
      <c r="J8" s="174"/>
      <c r="K8" s="173"/>
      <c r="L8" s="173"/>
      <c r="M8" s="175"/>
      <c r="N8" s="175"/>
      <c r="O8" s="175"/>
      <c r="P8" s="175"/>
      <c r="Q8" s="175"/>
      <c r="R8" s="175"/>
      <c r="S8" s="175"/>
    </row>
    <row r="9" spans="1:19" x14ac:dyDescent="0.25">
      <c r="A9" s="195" t="s">
        <v>160</v>
      </c>
      <c r="B9" s="196">
        <v>2023</v>
      </c>
      <c r="C9" s="176">
        <v>16.192</v>
      </c>
      <c r="D9" s="176">
        <v>22.937999999999999</v>
      </c>
      <c r="E9" s="176">
        <v>14.794</v>
      </c>
      <c r="F9" s="176">
        <v>15.435</v>
      </c>
      <c r="G9" s="176">
        <v>0</v>
      </c>
      <c r="H9" s="176">
        <v>20.981999999999999</v>
      </c>
      <c r="I9" s="176"/>
      <c r="J9" s="177"/>
      <c r="K9" s="176"/>
      <c r="L9" s="176"/>
      <c r="M9" s="176"/>
      <c r="N9" s="176"/>
      <c r="O9" s="176"/>
      <c r="P9" s="176"/>
      <c r="Q9" s="178"/>
      <c r="R9" s="178"/>
      <c r="S9" s="178"/>
    </row>
    <row r="10" spans="1:19" x14ac:dyDescent="0.25">
      <c r="A10" s="171" t="s">
        <v>161</v>
      </c>
      <c r="B10" s="172">
        <v>2022</v>
      </c>
      <c r="C10" s="173">
        <v>15.52</v>
      </c>
      <c r="D10" s="173">
        <v>21.998000000000001</v>
      </c>
      <c r="E10" s="173">
        <v>17.442</v>
      </c>
      <c r="F10" s="173">
        <v>14.8</v>
      </c>
      <c r="G10" s="173">
        <v>0</v>
      </c>
      <c r="H10" s="173">
        <v>20.116</v>
      </c>
      <c r="I10" s="173"/>
      <c r="J10" s="174"/>
      <c r="K10" s="173"/>
      <c r="L10" s="173"/>
      <c r="M10" s="175"/>
      <c r="N10" s="175"/>
      <c r="O10" s="175"/>
      <c r="P10" s="175"/>
      <c r="Q10" s="175"/>
      <c r="R10" s="175"/>
      <c r="S10" s="175"/>
    </row>
    <row r="11" spans="1:19" x14ac:dyDescent="0.25">
      <c r="A11" s="195" t="s">
        <v>161</v>
      </c>
      <c r="B11" s="196">
        <v>2023</v>
      </c>
      <c r="C11" s="176">
        <v>16.422000000000001</v>
      </c>
      <c r="D11" s="176">
        <v>23.263000000000002</v>
      </c>
      <c r="E11" s="176">
        <v>17.442</v>
      </c>
      <c r="F11" s="176">
        <v>15.657999999999999</v>
      </c>
      <c r="G11" s="176">
        <v>0</v>
      </c>
      <c r="H11" s="176">
        <v>21.283000000000001</v>
      </c>
      <c r="I11" s="176"/>
      <c r="J11" s="177"/>
      <c r="K11" s="176"/>
      <c r="L11" s="176"/>
      <c r="M11" s="178"/>
      <c r="N11" s="178"/>
      <c r="O11" s="178"/>
      <c r="P11" s="178"/>
      <c r="Q11" s="178"/>
      <c r="R11" s="178"/>
      <c r="S11" s="178"/>
    </row>
    <row r="12" spans="1:19" x14ac:dyDescent="0.25">
      <c r="A12" s="171" t="s">
        <v>162</v>
      </c>
      <c r="B12" s="172">
        <v>2022</v>
      </c>
      <c r="C12" s="173">
        <v>15.52</v>
      </c>
      <c r="D12" s="173">
        <v>21.99</v>
      </c>
      <c r="E12" s="173">
        <v>17.809999999999999</v>
      </c>
      <c r="F12" s="173">
        <v>14.81</v>
      </c>
      <c r="G12" s="173">
        <v>25.2</v>
      </c>
      <c r="H12" s="173">
        <v>20.73</v>
      </c>
      <c r="I12" s="173"/>
      <c r="J12" s="174"/>
      <c r="K12" s="173"/>
      <c r="L12" s="173"/>
      <c r="M12" s="175"/>
      <c r="N12" s="175"/>
      <c r="O12" s="175"/>
      <c r="P12" s="175"/>
      <c r="Q12" s="175"/>
      <c r="R12" s="175"/>
      <c r="S12" s="175"/>
    </row>
    <row r="13" spans="1:19" x14ac:dyDescent="0.25">
      <c r="A13" s="195" t="s">
        <v>162</v>
      </c>
      <c r="B13" s="196">
        <v>2023</v>
      </c>
      <c r="C13" s="176">
        <v>15.52</v>
      </c>
      <c r="D13" s="176">
        <v>21.99</v>
      </c>
      <c r="E13" s="176">
        <v>17.809999999999999</v>
      </c>
      <c r="F13" s="176">
        <v>14.81</v>
      </c>
      <c r="G13" s="176">
        <v>25.2</v>
      </c>
      <c r="H13" s="176">
        <v>20.73</v>
      </c>
      <c r="I13" s="176"/>
      <c r="J13" s="177"/>
      <c r="K13" s="176"/>
      <c r="L13" s="176"/>
      <c r="M13" s="178"/>
      <c r="N13" s="178"/>
      <c r="O13" s="178"/>
      <c r="P13" s="178"/>
      <c r="Q13" s="178"/>
      <c r="R13" s="178"/>
      <c r="S13" s="178"/>
    </row>
    <row r="14" spans="1:19" x14ac:dyDescent="0.25">
      <c r="A14" s="171" t="s">
        <v>163</v>
      </c>
      <c r="B14" s="172">
        <v>2022</v>
      </c>
      <c r="C14" s="173">
        <v>14.76</v>
      </c>
      <c r="D14" s="173">
        <v>20.912987012987013</v>
      </c>
      <c r="E14" s="173">
        <v>0</v>
      </c>
      <c r="F14" s="173">
        <v>14.068</v>
      </c>
      <c r="G14" s="173">
        <v>23.853333333333335</v>
      </c>
      <c r="H14" s="173">
        <v>19.696629213483146</v>
      </c>
      <c r="I14" s="173"/>
      <c r="J14" s="174"/>
      <c r="K14" s="173"/>
      <c r="L14" s="173"/>
      <c r="M14" s="175"/>
      <c r="N14" s="175"/>
      <c r="O14" s="175"/>
      <c r="P14" s="175"/>
      <c r="Q14" s="175"/>
      <c r="R14" s="175"/>
      <c r="S14" s="175"/>
    </row>
    <row r="15" spans="1:19" x14ac:dyDescent="0.25">
      <c r="A15" s="171" t="s">
        <v>164</v>
      </c>
      <c r="B15" s="172">
        <v>2022</v>
      </c>
      <c r="C15" s="173">
        <v>15.176666666666668</v>
      </c>
      <c r="D15" s="173">
        <v>21.5</v>
      </c>
      <c r="E15" s="173">
        <v>0</v>
      </c>
      <c r="F15" s="173">
        <v>14.468</v>
      </c>
      <c r="G15" s="173">
        <v>24.52</v>
      </c>
      <c r="H15" s="173">
        <v>20.238805970149251</v>
      </c>
      <c r="I15" s="173"/>
      <c r="J15" s="174"/>
      <c r="K15" s="173"/>
      <c r="L15" s="173"/>
      <c r="M15" s="175"/>
      <c r="N15" s="175"/>
      <c r="O15" s="175"/>
      <c r="P15" s="175"/>
      <c r="Q15" s="175"/>
      <c r="R15" s="175"/>
      <c r="S15" s="175"/>
    </row>
    <row r="16" spans="1:19" x14ac:dyDescent="0.25">
      <c r="A16" s="171" t="s">
        <v>165</v>
      </c>
      <c r="B16" s="172">
        <v>2022</v>
      </c>
      <c r="C16" s="173">
        <v>15.176666666666668</v>
      </c>
      <c r="D16" s="173">
        <v>21.5</v>
      </c>
      <c r="E16" s="173">
        <v>0</v>
      </c>
      <c r="F16" s="173">
        <v>14.468</v>
      </c>
      <c r="G16" s="173">
        <v>24.52</v>
      </c>
      <c r="H16" s="173">
        <v>20.238805970149251</v>
      </c>
      <c r="I16" s="173"/>
      <c r="J16" s="174"/>
      <c r="K16" s="173"/>
      <c r="L16" s="173"/>
      <c r="M16" s="175"/>
      <c r="N16" s="175"/>
      <c r="O16" s="175"/>
      <c r="P16" s="175"/>
      <c r="Q16" s="175"/>
      <c r="R16" s="175"/>
      <c r="S16" s="175"/>
    </row>
    <row r="17" spans="1:19" ht="90" x14ac:dyDescent="0.25">
      <c r="A17" s="179" t="s">
        <v>229</v>
      </c>
      <c r="B17" s="172">
        <v>2022</v>
      </c>
      <c r="C17" s="173">
        <v>15.696666666666665</v>
      </c>
      <c r="D17" s="173">
        <v>22.228571428571428</v>
      </c>
      <c r="E17" s="173">
        <v>18.141361256544503</v>
      </c>
      <c r="F17" s="173">
        <v>14.96</v>
      </c>
      <c r="G17" s="173">
        <v>25.373333333333335</v>
      </c>
      <c r="H17" s="173">
        <v>20.917910447761194</v>
      </c>
      <c r="I17" s="173"/>
      <c r="J17" s="174"/>
      <c r="K17" s="173">
        <v>0</v>
      </c>
      <c r="L17" s="173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</row>
    <row r="18" spans="1:19" x14ac:dyDescent="0.25">
      <c r="A18" s="171" t="s">
        <v>166</v>
      </c>
      <c r="B18" s="172">
        <v>2022</v>
      </c>
      <c r="C18" s="173">
        <v>16.2</v>
      </c>
      <c r="D18" s="173">
        <v>23.075324675324676</v>
      </c>
      <c r="E18" s="173">
        <v>12.486910994764397</v>
      </c>
      <c r="F18" s="173">
        <v>15.444000000000001</v>
      </c>
      <c r="G18" s="173">
        <v>26.16</v>
      </c>
      <c r="H18" s="173">
        <v>14.365671641791044</v>
      </c>
      <c r="I18" s="173"/>
      <c r="J18" s="174"/>
      <c r="K18" s="173"/>
      <c r="L18" s="173"/>
      <c r="M18" s="175"/>
      <c r="N18" s="175"/>
      <c r="O18" s="175"/>
      <c r="P18" s="175"/>
      <c r="Q18" s="175"/>
      <c r="R18" s="175"/>
      <c r="S18" s="175"/>
    </row>
    <row r="19" spans="1:19" x14ac:dyDescent="0.25">
      <c r="A19" s="171" t="s">
        <v>167</v>
      </c>
      <c r="B19" s="172">
        <v>2022</v>
      </c>
      <c r="C19" s="173">
        <v>20.69</v>
      </c>
      <c r="D19" s="173">
        <v>29.32987012987013</v>
      </c>
      <c r="E19" s="173">
        <v>23.95287958115183</v>
      </c>
      <c r="F19" s="173">
        <v>19.734000000000002</v>
      </c>
      <c r="G19" s="173">
        <v>33.479999999999997</v>
      </c>
      <c r="H19" s="173">
        <v>27.604477611940297</v>
      </c>
      <c r="I19" s="173"/>
      <c r="J19" s="174"/>
      <c r="K19" s="173"/>
      <c r="L19" s="173"/>
      <c r="M19" s="175"/>
      <c r="N19" s="175"/>
      <c r="O19" s="175"/>
      <c r="P19" s="175"/>
      <c r="Q19" s="175"/>
      <c r="R19" s="175"/>
      <c r="S19" s="175"/>
    </row>
    <row r="20" spans="1:19" x14ac:dyDescent="0.25">
      <c r="A20" s="171" t="s">
        <v>168</v>
      </c>
      <c r="B20" s="172">
        <v>2022</v>
      </c>
      <c r="C20" s="173">
        <v>20.69</v>
      </c>
      <c r="D20" s="173">
        <v>29.32987012987013</v>
      </c>
      <c r="E20" s="173">
        <v>23.95287958115183</v>
      </c>
      <c r="F20" s="173">
        <v>19.734000000000002</v>
      </c>
      <c r="G20" s="173">
        <v>33.479999999999997</v>
      </c>
      <c r="H20" s="173">
        <v>27.604477611940297</v>
      </c>
      <c r="I20" s="173"/>
      <c r="J20" s="174"/>
      <c r="K20" s="173"/>
      <c r="L20" s="173"/>
      <c r="M20" s="175"/>
      <c r="N20" s="175"/>
      <c r="O20" s="175"/>
      <c r="P20" s="175"/>
      <c r="Q20" s="175"/>
      <c r="R20" s="175"/>
      <c r="S20" s="175"/>
    </row>
    <row r="21" spans="1:19" ht="105" x14ac:dyDescent="0.25">
      <c r="A21" s="179" t="s">
        <v>169</v>
      </c>
      <c r="B21" s="172">
        <v>2022</v>
      </c>
      <c r="C21" s="173">
        <v>20.7</v>
      </c>
      <c r="D21" s="173">
        <v>29.32987012987013</v>
      </c>
      <c r="E21" s="173">
        <v>18.408376963350786</v>
      </c>
      <c r="F21" s="173">
        <v>19.736000000000001</v>
      </c>
      <c r="G21" s="173">
        <v>33.479999999999997</v>
      </c>
      <c r="H21" s="173">
        <v>21.231343283582088</v>
      </c>
      <c r="I21" s="173"/>
      <c r="J21" s="174"/>
      <c r="K21" s="173"/>
      <c r="L21" s="173"/>
      <c r="M21" s="175"/>
      <c r="N21" s="175"/>
      <c r="O21" s="175"/>
      <c r="P21" s="175"/>
      <c r="Q21" s="175"/>
      <c r="R21" s="175"/>
      <c r="S21" s="175"/>
    </row>
    <row r="22" spans="1:19" x14ac:dyDescent="0.25">
      <c r="A22" s="195" t="s">
        <v>163</v>
      </c>
      <c r="B22" s="196">
        <v>2023</v>
      </c>
      <c r="C22" s="176">
        <f>468.9/30</f>
        <v>15.629999999999999</v>
      </c>
      <c r="D22" s="176">
        <f>1705.3/77</f>
        <v>22.146753246753246</v>
      </c>
      <c r="E22" s="176">
        <f>230.1/19.1</f>
        <v>12.047120418848166</v>
      </c>
      <c r="F22" s="176">
        <f>744.9/50</f>
        <v>14.898</v>
      </c>
      <c r="G22" s="176">
        <f>189.5/7.5</f>
        <v>25.266666666666666</v>
      </c>
      <c r="H22" s="176">
        <f>185.6/8.9</f>
        <v>20.853932584269661</v>
      </c>
      <c r="I22" s="176"/>
      <c r="J22" s="177"/>
      <c r="K22" s="176"/>
      <c r="L22" s="176"/>
      <c r="M22" s="178"/>
      <c r="N22" s="178"/>
      <c r="O22" s="178"/>
      <c r="P22" s="178"/>
      <c r="Q22" s="178"/>
      <c r="R22" s="178"/>
      <c r="S22" s="178"/>
    </row>
    <row r="23" spans="1:19" x14ac:dyDescent="0.25">
      <c r="A23" s="195" t="s">
        <v>164</v>
      </c>
      <c r="B23" s="196">
        <v>2023</v>
      </c>
      <c r="C23" s="176">
        <f>482.2/30</f>
        <v>16.073333333333334</v>
      </c>
      <c r="D23" s="176">
        <f>1753.2/77</f>
        <v>22.76883116883117</v>
      </c>
      <c r="E23" s="176">
        <f>354.8/19.1</f>
        <v>18.575916230366492</v>
      </c>
      <c r="F23" s="176">
        <f>766.1/50</f>
        <v>15.322000000000001</v>
      </c>
      <c r="G23" s="176">
        <f>194.8/7.5</f>
        <v>25.973333333333336</v>
      </c>
      <c r="H23" s="176">
        <f>287.2/13.4</f>
        <v>21.432835820895519</v>
      </c>
      <c r="I23" s="176"/>
      <c r="J23" s="177"/>
      <c r="K23" s="176"/>
      <c r="L23" s="176"/>
      <c r="M23" s="178"/>
      <c r="N23" s="178"/>
      <c r="O23" s="178"/>
      <c r="P23" s="178"/>
      <c r="Q23" s="178"/>
      <c r="R23" s="178"/>
      <c r="S23" s="178"/>
    </row>
    <row r="24" spans="1:19" x14ac:dyDescent="0.25">
      <c r="A24" s="195" t="s">
        <v>165</v>
      </c>
      <c r="B24" s="196">
        <v>2023</v>
      </c>
      <c r="C24" s="296">
        <f t="shared" ref="C24:H24" si="0">C23</f>
        <v>16.073333333333334</v>
      </c>
      <c r="D24" s="296">
        <f t="shared" si="0"/>
        <v>22.76883116883117</v>
      </c>
      <c r="E24" s="296">
        <f t="shared" si="0"/>
        <v>18.575916230366492</v>
      </c>
      <c r="F24" s="296">
        <f t="shared" si="0"/>
        <v>15.322000000000001</v>
      </c>
      <c r="G24" s="296">
        <f t="shared" si="0"/>
        <v>25.973333333333336</v>
      </c>
      <c r="H24" s="296">
        <f t="shared" si="0"/>
        <v>21.432835820895519</v>
      </c>
      <c r="I24" s="176"/>
      <c r="J24" s="177"/>
      <c r="K24" s="176"/>
      <c r="L24" s="176"/>
      <c r="M24" s="178"/>
      <c r="N24" s="178"/>
      <c r="O24" s="178"/>
      <c r="P24" s="178"/>
      <c r="Q24" s="178"/>
      <c r="R24" s="178"/>
      <c r="S24" s="178"/>
    </row>
    <row r="25" spans="1:19" ht="90" x14ac:dyDescent="0.25">
      <c r="A25" s="197" t="s">
        <v>229</v>
      </c>
      <c r="B25" s="196">
        <v>2023</v>
      </c>
      <c r="C25" s="176">
        <f>492.4/30</f>
        <v>16.413333333333334</v>
      </c>
      <c r="D25" s="176">
        <f>1790.3/77</f>
        <v>23.250649350649351</v>
      </c>
      <c r="E25" s="176">
        <f>362.4/19.1</f>
        <v>18.973821989528794</v>
      </c>
      <c r="F25" s="176">
        <f>782.2/50</f>
        <v>15.644</v>
      </c>
      <c r="G25" s="176">
        <f>199.2/7.5</f>
        <v>26.56</v>
      </c>
      <c r="H25" s="176">
        <f>293.2/13.4</f>
        <v>21.880597014925371</v>
      </c>
      <c r="I25" s="176"/>
      <c r="J25" s="176"/>
      <c r="K25" s="176">
        <f t="shared" ref="K25:S25" si="1">K31:Z31</f>
        <v>0</v>
      </c>
      <c r="L25" s="176">
        <f t="shared" si="1"/>
        <v>0</v>
      </c>
      <c r="M25" s="176">
        <f t="shared" si="1"/>
        <v>0</v>
      </c>
      <c r="N25" s="176">
        <f t="shared" si="1"/>
        <v>0</v>
      </c>
      <c r="O25" s="176">
        <f t="shared" si="1"/>
        <v>0</v>
      </c>
      <c r="P25" s="176">
        <f t="shared" si="1"/>
        <v>0</v>
      </c>
      <c r="Q25" s="176">
        <f t="shared" si="1"/>
        <v>0</v>
      </c>
      <c r="R25" s="176">
        <f t="shared" si="1"/>
        <v>0</v>
      </c>
      <c r="S25" s="176">
        <f t="shared" si="1"/>
        <v>0</v>
      </c>
    </row>
    <row r="26" spans="1:19" x14ac:dyDescent="0.25">
      <c r="A26" s="195" t="s">
        <v>166</v>
      </c>
      <c r="B26" s="196">
        <v>2023</v>
      </c>
      <c r="C26" s="176">
        <f>518.3/30</f>
        <v>17.276666666666664</v>
      </c>
      <c r="D26" s="176">
        <f>1884.3/77</f>
        <v>24.471428571428572</v>
      </c>
      <c r="E26" s="176">
        <f>254.4/19.1</f>
        <v>13.31937172774869</v>
      </c>
      <c r="F26" s="176">
        <f>823.6/50</f>
        <v>16.472000000000001</v>
      </c>
      <c r="G26" s="176">
        <f>209.2/7.5</f>
        <v>27.893333333333331</v>
      </c>
      <c r="H26" s="176">
        <f>205.3/8.9</f>
        <v>23.067415730337078</v>
      </c>
      <c r="I26" s="176"/>
      <c r="J26" s="177"/>
      <c r="K26" s="176"/>
      <c r="L26" s="176"/>
      <c r="M26" s="178"/>
      <c r="N26" s="178"/>
      <c r="O26" s="178"/>
      <c r="P26" s="178"/>
      <c r="Q26" s="178"/>
      <c r="R26" s="178"/>
      <c r="S26" s="178"/>
    </row>
    <row r="27" spans="1:19" x14ac:dyDescent="0.25">
      <c r="A27" s="195" t="s">
        <v>167</v>
      </c>
      <c r="B27" s="196">
        <v>2023</v>
      </c>
      <c r="C27" s="296">
        <f>C28</f>
        <v>22.066666666666666</v>
      </c>
      <c r="D27" s="296">
        <f t="shared" ref="D27:H27" si="2">D28</f>
        <v>31.28051948051948</v>
      </c>
      <c r="E27" s="296">
        <f t="shared" si="2"/>
        <v>25.523560209424083</v>
      </c>
      <c r="F27" s="296">
        <f t="shared" si="2"/>
        <v>21.045999999999999</v>
      </c>
      <c r="G27" s="296">
        <f t="shared" si="2"/>
        <v>35.706666666666671</v>
      </c>
      <c r="H27" s="296">
        <f t="shared" si="2"/>
        <v>29.440298507462686</v>
      </c>
      <c r="I27" s="176"/>
      <c r="J27" s="177"/>
      <c r="K27" s="176"/>
      <c r="L27" s="176"/>
      <c r="M27" s="178"/>
      <c r="N27" s="178"/>
      <c r="O27" s="178"/>
      <c r="P27" s="178"/>
      <c r="Q27" s="178"/>
      <c r="R27" s="178"/>
      <c r="S27" s="178"/>
    </row>
    <row r="28" spans="1:19" x14ac:dyDescent="0.25">
      <c r="A28" s="195" t="s">
        <v>168</v>
      </c>
      <c r="B28" s="196">
        <v>2023</v>
      </c>
      <c r="C28" s="176">
        <f>662/30</f>
        <v>22.066666666666666</v>
      </c>
      <c r="D28" s="176">
        <f>2408.6/77</f>
        <v>31.28051948051948</v>
      </c>
      <c r="E28" s="176">
        <f>487.5/19.1</f>
        <v>25.523560209424083</v>
      </c>
      <c r="F28" s="176">
        <f>1052.3/50</f>
        <v>21.045999999999999</v>
      </c>
      <c r="G28" s="176">
        <f>267.8/7.5</f>
        <v>35.706666666666671</v>
      </c>
      <c r="H28" s="176">
        <f>394.5/13.4</f>
        <v>29.440298507462686</v>
      </c>
      <c r="I28" s="176"/>
      <c r="J28" s="177"/>
      <c r="K28" s="176"/>
      <c r="L28" s="176"/>
      <c r="M28" s="178"/>
      <c r="N28" s="178"/>
      <c r="O28" s="178"/>
      <c r="P28" s="178"/>
      <c r="Q28" s="178"/>
      <c r="R28" s="178"/>
      <c r="S28" s="178"/>
    </row>
    <row r="29" spans="1:19" ht="105" x14ac:dyDescent="0.25">
      <c r="A29" s="197" t="s">
        <v>169</v>
      </c>
      <c r="B29" s="196">
        <v>2023</v>
      </c>
      <c r="C29" s="176">
        <f>662.3/30</f>
        <v>22.076666666666664</v>
      </c>
      <c r="D29" s="176">
        <f>2408.6/77</f>
        <v>31.28051948051948</v>
      </c>
      <c r="E29" s="176">
        <f>375/19.1</f>
        <v>19.633507853403138</v>
      </c>
      <c r="F29" s="176">
        <f>1052.4/50</f>
        <v>21.048000000000002</v>
      </c>
      <c r="G29" s="176">
        <f>267.9/13.4</f>
        <v>19.992537313432834</v>
      </c>
      <c r="H29" s="176">
        <f>303.4/13.4</f>
        <v>22.641791044776117</v>
      </c>
      <c r="I29" s="176"/>
      <c r="J29" s="177"/>
      <c r="K29" s="176"/>
      <c r="L29" s="176"/>
      <c r="M29" s="178"/>
      <c r="N29" s="178"/>
      <c r="O29" s="178"/>
      <c r="P29" s="178"/>
      <c r="Q29" s="178"/>
      <c r="R29" s="178"/>
      <c r="S29" s="178"/>
    </row>
    <row r="30" spans="1:19" x14ac:dyDescent="0.25">
      <c r="A30" s="171" t="s">
        <v>170</v>
      </c>
      <c r="B30" s="172">
        <v>2022</v>
      </c>
      <c r="C30" s="173"/>
      <c r="D30" s="173"/>
      <c r="E30" s="173"/>
      <c r="F30" s="173"/>
      <c r="G30" s="173"/>
      <c r="H30" s="173"/>
      <c r="I30" s="173"/>
      <c r="J30" s="174"/>
      <c r="K30" s="173"/>
      <c r="L30" s="173"/>
      <c r="M30" s="175"/>
      <c r="N30" s="175"/>
      <c r="O30" s="175"/>
      <c r="P30" s="175"/>
      <c r="Q30" s="175"/>
      <c r="R30" s="175"/>
      <c r="S30" s="175"/>
    </row>
    <row r="31" spans="1:19" x14ac:dyDescent="0.25">
      <c r="A31" s="195" t="s">
        <v>170</v>
      </c>
      <c r="B31" s="196">
        <v>2023</v>
      </c>
      <c r="C31" s="176"/>
      <c r="D31" s="176"/>
      <c r="E31" s="176"/>
      <c r="F31" s="176"/>
      <c r="G31" s="176"/>
      <c r="H31" s="176"/>
      <c r="I31" s="176"/>
      <c r="J31" s="177"/>
      <c r="K31" s="176"/>
      <c r="L31" s="176"/>
      <c r="M31" s="178"/>
      <c r="N31" s="178"/>
      <c r="O31" s="178"/>
      <c r="P31" s="178"/>
      <c r="Q31" s="178"/>
      <c r="R31" s="178"/>
      <c r="S31" s="178"/>
    </row>
    <row r="32" spans="1:19" x14ac:dyDescent="0.25">
      <c r="A32" s="171" t="s">
        <v>171</v>
      </c>
      <c r="B32" s="172">
        <v>2022</v>
      </c>
      <c r="C32" s="173">
        <v>16.57</v>
      </c>
      <c r="D32" s="173">
        <v>23.453246753246756</v>
      </c>
      <c r="E32" s="173">
        <v>12.764397905759163</v>
      </c>
      <c r="F32" s="173">
        <v>15.788</v>
      </c>
      <c r="G32" s="173">
        <v>29.986666666666668</v>
      </c>
      <c r="H32" s="173"/>
      <c r="I32" s="173">
        <v>26.713000000000001</v>
      </c>
      <c r="J32" s="174">
        <v>29.986999999999998</v>
      </c>
      <c r="K32" s="173"/>
      <c r="L32" s="173"/>
      <c r="M32" s="175"/>
      <c r="N32" s="175"/>
      <c r="O32" s="175"/>
      <c r="P32" s="175"/>
      <c r="Q32" s="175"/>
      <c r="R32" s="175"/>
      <c r="S32" s="175"/>
    </row>
    <row r="33" spans="1:19" x14ac:dyDescent="0.25">
      <c r="A33" s="195" t="s">
        <v>171</v>
      </c>
      <c r="B33" s="196">
        <v>2023</v>
      </c>
      <c r="C33" s="176">
        <v>17.632999999999999</v>
      </c>
      <c r="D33" s="176">
        <v>24.978000000000002</v>
      </c>
      <c r="E33" s="176">
        <v>20.384</v>
      </c>
      <c r="F33" s="176">
        <v>16.808</v>
      </c>
      <c r="G33" s="176">
        <v>31.92</v>
      </c>
      <c r="H33" s="176"/>
      <c r="I33" s="176">
        <v>28.472999999999999</v>
      </c>
      <c r="J33" s="177">
        <v>31.92</v>
      </c>
      <c r="K33" s="176"/>
      <c r="L33" s="176"/>
      <c r="M33" s="178"/>
      <c r="N33" s="178"/>
      <c r="O33" s="178"/>
      <c r="P33" s="178"/>
      <c r="Q33" s="178"/>
      <c r="R33" s="178"/>
      <c r="S33" s="178"/>
    </row>
    <row r="34" spans="1:19" x14ac:dyDescent="0.25">
      <c r="A34" s="171" t="s">
        <v>248</v>
      </c>
      <c r="B34" s="172">
        <v>2022</v>
      </c>
      <c r="C34" s="173">
        <v>16.46</v>
      </c>
      <c r="D34" s="173">
        <v>23.4</v>
      </c>
      <c r="E34" s="173">
        <v>18.95</v>
      </c>
      <c r="F34" s="173">
        <v>15.77</v>
      </c>
      <c r="G34" s="173">
        <v>0</v>
      </c>
      <c r="H34" s="173">
        <v>22.07</v>
      </c>
      <c r="I34" s="173"/>
      <c r="J34" s="174"/>
      <c r="K34" s="173"/>
      <c r="L34" s="173"/>
      <c r="M34" s="175"/>
      <c r="N34" s="175"/>
      <c r="O34" s="175"/>
      <c r="P34" s="175"/>
      <c r="Q34" s="175"/>
      <c r="R34" s="175"/>
      <c r="S34" s="175"/>
    </row>
    <row r="35" spans="1:19" x14ac:dyDescent="0.25">
      <c r="A35" s="195" t="s">
        <v>248</v>
      </c>
      <c r="B35" s="196">
        <v>2023</v>
      </c>
      <c r="C35" s="176">
        <v>17.43</v>
      </c>
      <c r="D35" s="176">
        <v>24.78</v>
      </c>
      <c r="E35" s="176">
        <v>20.059999999999999</v>
      </c>
      <c r="F35" s="176">
        <v>16.7</v>
      </c>
      <c r="G35" s="176">
        <v>0</v>
      </c>
      <c r="H35" s="176">
        <v>23.37</v>
      </c>
      <c r="I35" s="176"/>
      <c r="J35" s="177"/>
      <c r="K35" s="176"/>
      <c r="L35" s="176"/>
      <c r="M35" s="178"/>
      <c r="N35" s="178"/>
      <c r="O35" s="178"/>
      <c r="P35" s="178"/>
      <c r="Q35" s="178"/>
      <c r="R35" s="178"/>
      <c r="S35" s="178"/>
    </row>
    <row r="36" spans="1:19" x14ac:dyDescent="0.25">
      <c r="A36" s="171" t="s">
        <v>172</v>
      </c>
      <c r="B36" s="172">
        <v>2022</v>
      </c>
      <c r="C36" s="260">
        <v>16.247</v>
      </c>
      <c r="D36" s="173">
        <v>23.021999999999998</v>
      </c>
      <c r="E36" s="173">
        <v>12.529</v>
      </c>
      <c r="F36" s="173">
        <v>15.492000000000001</v>
      </c>
      <c r="G36" s="173">
        <v>26.24</v>
      </c>
      <c r="H36" s="173">
        <v>14.231</v>
      </c>
      <c r="I36" s="173"/>
      <c r="J36" s="174"/>
      <c r="K36" s="173"/>
      <c r="L36" s="173"/>
      <c r="M36" s="175"/>
      <c r="N36" s="175"/>
      <c r="O36" s="175"/>
      <c r="P36" s="175"/>
      <c r="Q36" s="175"/>
      <c r="R36" s="175"/>
      <c r="S36" s="175"/>
    </row>
    <row r="37" spans="1:19" x14ac:dyDescent="0.25">
      <c r="A37" s="195" t="s">
        <v>172</v>
      </c>
      <c r="B37" s="196">
        <v>2023</v>
      </c>
      <c r="C37" s="261">
        <f>512.7/30</f>
        <v>17.09</v>
      </c>
      <c r="D37" s="176">
        <f>C37/C36*D36</f>
        <v>24.216531051886498</v>
      </c>
      <c r="E37" s="176">
        <f>251.7/19.1</f>
        <v>13.178010471204187</v>
      </c>
      <c r="F37" s="176">
        <f>814.9/50</f>
        <v>16.297999999999998</v>
      </c>
      <c r="G37" s="176">
        <f>207/7.5</f>
        <v>27.6</v>
      </c>
      <c r="H37" s="176">
        <f>200.6/13.4</f>
        <v>14.970149253731343</v>
      </c>
      <c r="I37" s="176"/>
      <c r="J37" s="177"/>
      <c r="K37" s="176"/>
      <c r="L37" s="176"/>
      <c r="M37" s="178"/>
      <c r="N37" s="178"/>
      <c r="O37" s="178"/>
      <c r="P37" s="178"/>
      <c r="Q37" s="178"/>
      <c r="R37" s="178"/>
      <c r="S37" s="178"/>
    </row>
    <row r="38" spans="1:19" x14ac:dyDescent="0.25">
      <c r="A38" s="171" t="s">
        <v>173</v>
      </c>
      <c r="B38" s="172">
        <v>2022</v>
      </c>
      <c r="C38" s="260">
        <v>16.54</v>
      </c>
      <c r="D38" s="173">
        <v>23.287012987012986</v>
      </c>
      <c r="E38" s="173">
        <v>18.806282722513085</v>
      </c>
      <c r="F38" s="173">
        <v>15.67</v>
      </c>
      <c r="G38" s="173">
        <v>26.712</v>
      </c>
      <c r="H38" s="173">
        <v>21.686567164179106</v>
      </c>
      <c r="I38" s="173"/>
      <c r="J38" s="174"/>
      <c r="K38" s="173"/>
      <c r="L38" s="173"/>
      <c r="M38" s="175"/>
      <c r="N38" s="175"/>
      <c r="O38" s="175"/>
      <c r="P38" s="175"/>
      <c r="Q38" s="175"/>
      <c r="R38" s="175"/>
      <c r="S38" s="175"/>
    </row>
    <row r="39" spans="1:19" x14ac:dyDescent="0.25">
      <c r="A39" s="195" t="s">
        <v>173</v>
      </c>
      <c r="B39" s="196">
        <v>2023</v>
      </c>
      <c r="C39" s="261">
        <f>523.5/30</f>
        <v>17.45</v>
      </c>
      <c r="D39" s="176">
        <f>1891.7/77</f>
        <v>24.56753246753247</v>
      </c>
      <c r="E39" s="176">
        <f>D39/D38*E38</f>
        <v>19.840413265394016</v>
      </c>
      <c r="F39" s="176">
        <f>826.6/50</f>
        <v>16.532</v>
      </c>
      <c r="G39" s="176">
        <f>211.36/7.5</f>
        <v>28.181333333333335</v>
      </c>
      <c r="H39" s="176">
        <f>275.3/13.4</f>
        <v>20.544776119402986</v>
      </c>
      <c r="I39" s="176"/>
      <c r="J39" s="177"/>
      <c r="K39" s="176"/>
      <c r="L39" s="176"/>
      <c r="M39" s="178"/>
      <c r="N39" s="178"/>
      <c r="O39" s="178"/>
      <c r="P39" s="178"/>
      <c r="Q39" s="178"/>
      <c r="R39" s="178"/>
      <c r="S39" s="178"/>
    </row>
    <row r="40" spans="1:19" x14ac:dyDescent="0.25">
      <c r="A40" s="171" t="s">
        <v>174</v>
      </c>
      <c r="B40" s="172">
        <v>2022</v>
      </c>
      <c r="C40" s="260">
        <v>15.779</v>
      </c>
      <c r="D40" s="173">
        <v>22.353000000000002</v>
      </c>
      <c r="E40" s="173">
        <v>18.241</v>
      </c>
      <c r="F40" s="173">
        <v>15.041</v>
      </c>
      <c r="G40" s="173">
        <v>0</v>
      </c>
      <c r="H40" s="173">
        <v>21.038</v>
      </c>
      <c r="I40" s="173">
        <v>25.48</v>
      </c>
      <c r="J40" s="174">
        <v>28.84</v>
      </c>
      <c r="K40" s="173"/>
      <c r="L40" s="173"/>
      <c r="M40" s="175"/>
      <c r="N40" s="175"/>
      <c r="O40" s="175"/>
      <c r="P40" s="175"/>
      <c r="Q40" s="175"/>
      <c r="R40" s="175"/>
      <c r="S40" s="175"/>
    </row>
    <row r="41" spans="1:19" x14ac:dyDescent="0.25">
      <c r="A41" s="195" t="s">
        <v>174</v>
      </c>
      <c r="B41" s="196">
        <v>2023</v>
      </c>
      <c r="C41" s="261">
        <v>16.678999999999998</v>
      </c>
      <c r="D41" s="176">
        <v>23.626999999999999</v>
      </c>
      <c r="E41" s="176">
        <v>19.280999999999999</v>
      </c>
      <c r="F41" s="176">
        <v>15.898</v>
      </c>
      <c r="G41" s="176">
        <v>0</v>
      </c>
      <c r="H41" s="176">
        <f>22.237</f>
        <v>22.236999999999998</v>
      </c>
      <c r="I41" s="176">
        <v>26.931999999999999</v>
      </c>
      <c r="J41" s="177">
        <v>30.193000000000001</v>
      </c>
      <c r="K41" s="176"/>
      <c r="L41" s="176"/>
      <c r="M41" s="178"/>
      <c r="N41" s="178"/>
      <c r="O41" s="178"/>
      <c r="P41" s="178"/>
      <c r="Q41" s="178"/>
      <c r="R41" s="178"/>
      <c r="S41" s="178"/>
    </row>
    <row r="42" spans="1:19" x14ac:dyDescent="0.25">
      <c r="A42" s="171" t="s">
        <v>175</v>
      </c>
      <c r="B42" s="172">
        <v>2022</v>
      </c>
      <c r="C42" s="260">
        <v>59.519182319999999</v>
      </c>
      <c r="D42" s="180"/>
      <c r="E42" s="180"/>
      <c r="F42" s="180"/>
      <c r="G42" s="180"/>
      <c r="H42" s="180"/>
      <c r="I42" s="180"/>
      <c r="J42" s="174"/>
      <c r="K42" s="181">
        <v>51.016100675372854</v>
      </c>
      <c r="L42" s="181">
        <v>50.730762365150454</v>
      </c>
      <c r="M42" s="198">
        <v>1051679.5101562499</v>
      </c>
      <c r="N42" s="198">
        <v>155</v>
      </c>
      <c r="O42" s="198">
        <v>282</v>
      </c>
      <c r="P42" s="198">
        <v>267</v>
      </c>
      <c r="Q42" s="198">
        <v>462</v>
      </c>
      <c r="R42" s="198">
        <v>447</v>
      </c>
      <c r="S42" s="198"/>
    </row>
    <row r="43" spans="1:19" x14ac:dyDescent="0.25">
      <c r="A43" s="195" t="s">
        <v>175</v>
      </c>
      <c r="B43" s="196">
        <v>2023</v>
      </c>
      <c r="C43" s="233">
        <f>C42*1.075</f>
        <v>63.983120993999997</v>
      </c>
      <c r="D43" s="199"/>
      <c r="E43" s="199"/>
      <c r="F43" s="199"/>
      <c r="G43" s="199"/>
      <c r="H43" s="199"/>
      <c r="I43" s="199"/>
      <c r="J43" s="177"/>
      <c r="K43" s="182">
        <f>($M43/$N43+O43*$C43)/Q43</f>
        <v>54.592642653163701</v>
      </c>
      <c r="L43" s="182">
        <f>($M43/$N43+P43*$C43)/R43</f>
        <v>54.277525930316841</v>
      </c>
      <c r="M43" s="200">
        <f>675300*1.15*1.125*1.125*1.07*1.058</f>
        <v>1112676.9217453124</v>
      </c>
      <c r="N43" s="294">
        <v>155</v>
      </c>
      <c r="O43" s="294">
        <v>282</v>
      </c>
      <c r="P43" s="294">
        <v>267</v>
      </c>
      <c r="Q43" s="294">
        <v>462</v>
      </c>
      <c r="R43" s="294">
        <v>447</v>
      </c>
      <c r="S43" s="178"/>
    </row>
    <row r="44" spans="1:19" x14ac:dyDescent="0.25">
      <c r="A44" s="171" t="s">
        <v>176</v>
      </c>
      <c r="B44" s="172">
        <v>2022</v>
      </c>
      <c r="C44" s="260">
        <v>51.177999999999997</v>
      </c>
      <c r="D44" s="180"/>
      <c r="E44" s="180"/>
      <c r="F44" s="180"/>
      <c r="G44" s="180"/>
      <c r="H44" s="180"/>
      <c r="I44" s="180"/>
      <c r="J44" s="174"/>
      <c r="K44" s="173"/>
      <c r="L44" s="173"/>
      <c r="M44" s="175"/>
      <c r="N44" s="175"/>
      <c r="O44" s="175"/>
      <c r="P44" s="175"/>
      <c r="Q44" s="175"/>
      <c r="R44" s="175"/>
      <c r="S44" s="175"/>
    </row>
    <row r="45" spans="1:19" x14ac:dyDescent="0.25">
      <c r="A45" s="195" t="s">
        <v>176</v>
      </c>
      <c r="B45" s="196">
        <v>2023</v>
      </c>
      <c r="C45" s="233">
        <f>C44*1.075</f>
        <v>55.016349999999996</v>
      </c>
      <c r="D45" s="199"/>
      <c r="E45" s="199"/>
      <c r="F45" s="199"/>
      <c r="G45" s="199"/>
      <c r="H45" s="199"/>
      <c r="I45" s="199"/>
      <c r="J45" s="177"/>
      <c r="K45" s="176"/>
      <c r="L45" s="176"/>
      <c r="M45" s="178"/>
      <c r="N45" s="178"/>
      <c r="O45" s="178"/>
      <c r="P45" s="178"/>
      <c r="Q45" s="178"/>
      <c r="R45" s="178"/>
      <c r="S45" s="178"/>
    </row>
    <row r="46" spans="1:19" x14ac:dyDescent="0.25">
      <c r="A46" s="171" t="s">
        <v>177</v>
      </c>
      <c r="B46" s="172">
        <v>2022</v>
      </c>
      <c r="C46" s="260">
        <v>46.750999999999998</v>
      </c>
      <c r="D46" s="180"/>
      <c r="E46" s="180"/>
      <c r="F46" s="180"/>
      <c r="G46" s="180"/>
      <c r="H46" s="180"/>
      <c r="I46" s="180"/>
      <c r="J46" s="174"/>
      <c r="K46" s="181">
        <v>41.607283109139082</v>
      </c>
      <c r="L46" s="181">
        <v>41.523475947700796</v>
      </c>
      <c r="M46" s="198">
        <v>1051679.5101562499</v>
      </c>
      <c r="N46" s="198">
        <v>155</v>
      </c>
      <c r="O46" s="198">
        <v>282</v>
      </c>
      <c r="P46" s="198">
        <v>267</v>
      </c>
      <c r="Q46" s="198">
        <v>462</v>
      </c>
      <c r="R46" s="198">
        <v>447</v>
      </c>
      <c r="S46" s="198"/>
    </row>
    <row r="47" spans="1:19" x14ac:dyDescent="0.25">
      <c r="A47" s="195" t="s">
        <v>177</v>
      </c>
      <c r="B47" s="196">
        <v>2023</v>
      </c>
      <c r="C47" s="233">
        <f>C46*1.075</f>
        <v>50.257324999999994</v>
      </c>
      <c r="D47" s="199"/>
      <c r="E47" s="199"/>
      <c r="F47" s="199"/>
      <c r="G47" s="199"/>
      <c r="H47" s="199"/>
      <c r="I47" s="199"/>
      <c r="J47" s="177"/>
      <c r="K47" s="182">
        <f>($M47/$N47+O47*$C47)/Q47</f>
        <v>46.214559384098756</v>
      </c>
      <c r="L47" s="182">
        <f>($M47/$N47+P47*$C47)/R47</f>
        <v>46.078896108397373</v>
      </c>
      <c r="M47" s="294">
        <f>M43</f>
        <v>1112676.9217453124</v>
      </c>
      <c r="N47" s="294">
        <v>155</v>
      </c>
      <c r="O47" s="294">
        <v>282</v>
      </c>
      <c r="P47" s="294">
        <v>267</v>
      </c>
      <c r="Q47" s="294">
        <v>462</v>
      </c>
      <c r="R47" s="294">
        <v>447</v>
      </c>
      <c r="S47" s="178"/>
    </row>
    <row r="48" spans="1:19" x14ac:dyDescent="0.25">
      <c r="A48" s="184"/>
      <c r="B48" s="185"/>
      <c r="C48" s="186"/>
      <c r="D48" s="186"/>
      <c r="E48" s="186"/>
      <c r="F48" s="186"/>
      <c r="G48" s="186"/>
      <c r="H48" s="186"/>
      <c r="I48" s="186"/>
      <c r="J48" s="201"/>
      <c r="K48" s="187"/>
      <c r="L48" s="187"/>
      <c r="M48" s="202"/>
      <c r="N48" s="202"/>
      <c r="O48" s="202"/>
      <c r="P48" s="202"/>
      <c r="Q48" s="202"/>
      <c r="R48" s="202"/>
      <c r="S48" s="202"/>
    </row>
    <row r="49" spans="1:19" x14ac:dyDescent="0.25">
      <c r="A49" s="171" t="s">
        <v>221</v>
      </c>
      <c r="B49" s="172">
        <v>2022</v>
      </c>
      <c r="C49" s="173"/>
      <c r="D49" s="173"/>
      <c r="E49" s="173"/>
      <c r="F49" s="173"/>
      <c r="G49" s="173"/>
      <c r="H49" s="173"/>
      <c r="I49" s="180"/>
      <c r="J49" s="174"/>
      <c r="K49" s="173"/>
      <c r="L49" s="173"/>
      <c r="M49" s="175"/>
      <c r="N49" s="175"/>
      <c r="O49" s="175"/>
      <c r="P49" s="175"/>
      <c r="Q49" s="175"/>
      <c r="R49" s="175"/>
      <c r="S49" s="175"/>
    </row>
    <row r="50" spans="1:19" x14ac:dyDescent="0.25">
      <c r="A50" s="195" t="s">
        <v>221</v>
      </c>
      <c r="B50" s="196">
        <v>2023</v>
      </c>
      <c r="C50" s="176"/>
      <c r="D50" s="176"/>
      <c r="E50" s="176"/>
      <c r="F50" s="176"/>
      <c r="G50" s="176"/>
      <c r="H50" s="176"/>
      <c r="I50" s="199"/>
      <c r="J50" s="177"/>
      <c r="K50" s="176"/>
      <c r="L50" s="176"/>
      <c r="M50" s="178"/>
      <c r="N50" s="178"/>
      <c r="O50" s="178"/>
      <c r="P50" s="178"/>
      <c r="Q50" s="178"/>
      <c r="R50" s="178"/>
      <c r="S50" s="178"/>
    </row>
    <row r="51" spans="1:19" x14ac:dyDescent="0.25">
      <c r="A51" s="171" t="s">
        <v>222</v>
      </c>
      <c r="B51" s="172">
        <v>2022</v>
      </c>
      <c r="C51" s="173"/>
      <c r="D51" s="173"/>
      <c r="E51" s="173"/>
      <c r="F51" s="173"/>
      <c r="G51" s="173"/>
      <c r="H51" s="173"/>
      <c r="I51" s="180"/>
      <c r="J51" s="174"/>
      <c r="K51" s="173"/>
      <c r="L51" s="173"/>
      <c r="M51" s="175"/>
      <c r="N51" s="175"/>
      <c r="O51" s="175"/>
      <c r="P51" s="175"/>
      <c r="Q51" s="175"/>
      <c r="R51" s="175"/>
      <c r="S51" s="175"/>
    </row>
    <row r="52" spans="1:19" x14ac:dyDescent="0.25">
      <c r="A52" s="195" t="s">
        <v>222</v>
      </c>
      <c r="B52" s="196">
        <v>2023</v>
      </c>
      <c r="C52" s="176"/>
      <c r="D52" s="176"/>
      <c r="E52" s="176"/>
      <c r="F52" s="176"/>
      <c r="G52" s="176"/>
      <c r="H52" s="176"/>
      <c r="I52" s="199"/>
      <c r="J52" s="177"/>
      <c r="K52" s="176"/>
      <c r="L52" s="176"/>
      <c r="M52" s="178"/>
      <c r="N52" s="178"/>
      <c r="O52" s="178"/>
      <c r="P52" s="178"/>
      <c r="Q52" s="178"/>
      <c r="R52" s="178"/>
      <c r="S52" s="178"/>
    </row>
    <row r="53" spans="1:19" x14ac:dyDescent="0.25">
      <c r="A53" s="171" t="s">
        <v>223</v>
      </c>
      <c r="B53" s="172">
        <v>2022</v>
      </c>
      <c r="C53" s="173"/>
      <c r="D53" s="173"/>
      <c r="E53" s="173"/>
      <c r="F53" s="173"/>
      <c r="G53" s="173"/>
      <c r="H53" s="173"/>
      <c r="I53" s="180"/>
      <c r="J53" s="174"/>
      <c r="K53" s="173"/>
      <c r="L53" s="173"/>
      <c r="M53" s="175"/>
      <c r="N53" s="175"/>
      <c r="O53" s="175"/>
      <c r="P53" s="175"/>
      <c r="Q53" s="175"/>
      <c r="R53" s="175"/>
      <c r="S53" s="175">
        <v>14.496666666666666</v>
      </c>
    </row>
    <row r="54" spans="1:19" x14ac:dyDescent="0.25">
      <c r="A54" s="195" t="s">
        <v>223</v>
      </c>
      <c r="B54" s="196">
        <v>2023</v>
      </c>
      <c r="C54" s="176"/>
      <c r="D54" s="176"/>
      <c r="E54" s="176"/>
      <c r="F54" s="176"/>
      <c r="G54" s="176"/>
      <c r="H54" s="176"/>
      <c r="I54" s="199"/>
      <c r="J54" s="177"/>
      <c r="K54" s="176"/>
      <c r="L54" s="176"/>
      <c r="M54" s="178"/>
      <c r="N54" s="178"/>
      <c r="O54" s="178"/>
      <c r="P54" s="178"/>
      <c r="Q54" s="178"/>
      <c r="R54" s="178"/>
      <c r="S54" s="176">
        <f>460.1/30</f>
        <v>15.336666666666668</v>
      </c>
    </row>
    <row r="55" spans="1:19" x14ac:dyDescent="0.25">
      <c r="A55" s="171" t="s">
        <v>224</v>
      </c>
      <c r="B55" s="172">
        <v>2022</v>
      </c>
      <c r="C55" s="173"/>
      <c r="D55" s="173"/>
      <c r="E55" s="173"/>
      <c r="F55" s="173"/>
      <c r="G55" s="173"/>
      <c r="H55" s="173"/>
      <c r="I55" s="180"/>
      <c r="J55" s="174"/>
      <c r="K55" s="173"/>
      <c r="L55" s="173"/>
      <c r="M55" s="175"/>
      <c r="N55" s="175"/>
      <c r="O55" s="175"/>
      <c r="P55" s="175"/>
      <c r="Q55" s="175"/>
      <c r="R55" s="175"/>
      <c r="S55" s="175">
        <v>15.443333333333333</v>
      </c>
    </row>
    <row r="56" spans="1:19" x14ac:dyDescent="0.25">
      <c r="A56" s="195" t="s">
        <v>224</v>
      </c>
      <c r="B56" s="196">
        <v>2023</v>
      </c>
      <c r="C56" s="176"/>
      <c r="D56" s="176"/>
      <c r="E56" s="176"/>
      <c r="F56" s="176"/>
      <c r="G56" s="176"/>
      <c r="H56" s="176"/>
      <c r="I56" s="199"/>
      <c r="J56" s="177"/>
      <c r="K56" s="176"/>
      <c r="L56" s="176"/>
      <c r="M56" s="178"/>
      <c r="N56" s="178"/>
      <c r="O56" s="178"/>
      <c r="P56" s="178"/>
      <c r="Q56" s="178"/>
      <c r="R56" s="178"/>
      <c r="S56" s="176">
        <f>490.2/30</f>
        <v>16.34</v>
      </c>
    </row>
    <row r="57" spans="1:19" x14ac:dyDescent="0.25">
      <c r="A57" s="188"/>
      <c r="B57" s="189"/>
      <c r="C57" s="190"/>
      <c r="D57" s="190"/>
      <c r="E57" s="190"/>
      <c r="F57" s="190"/>
      <c r="G57" s="190"/>
      <c r="H57" s="190"/>
      <c r="I57" s="190"/>
      <c r="J57" s="203"/>
      <c r="K57" s="191"/>
      <c r="L57" s="191"/>
      <c r="M57" s="204"/>
      <c r="N57" s="204"/>
      <c r="O57" s="204"/>
      <c r="P57" s="204"/>
      <c r="Q57" s="204"/>
      <c r="R57" s="204"/>
      <c r="S57" s="204"/>
    </row>
    <row r="58" spans="1:19" ht="45" x14ac:dyDescent="0.25">
      <c r="A58" s="179" t="s">
        <v>230</v>
      </c>
      <c r="B58" s="172">
        <v>2022</v>
      </c>
      <c r="C58" s="173">
        <v>20.7</v>
      </c>
      <c r="D58" s="173">
        <v>22.562337662337661</v>
      </c>
      <c r="E58" s="173">
        <v>18.408376963350786</v>
      </c>
      <c r="F58" s="173">
        <v>19.738</v>
      </c>
      <c r="G58" s="173">
        <v>25.759999999999998</v>
      </c>
      <c r="H58" s="173">
        <v>21.231343283582088</v>
      </c>
      <c r="I58" s="180"/>
      <c r="J58" s="174"/>
      <c r="K58" s="173"/>
      <c r="L58" s="173"/>
      <c r="M58" s="175"/>
      <c r="N58" s="175"/>
      <c r="O58" s="175"/>
      <c r="P58" s="175"/>
      <c r="Q58" s="175"/>
      <c r="R58" s="175"/>
      <c r="S58" s="175"/>
    </row>
    <row r="59" spans="1:19" ht="45" x14ac:dyDescent="0.25">
      <c r="A59" s="197" t="s">
        <v>230</v>
      </c>
      <c r="B59" s="196">
        <v>2023</v>
      </c>
      <c r="C59" s="176">
        <f>662.6/30</f>
        <v>22.086666666666666</v>
      </c>
      <c r="D59" s="176">
        <f>1852.8/77</f>
        <v>24.062337662337661</v>
      </c>
      <c r="E59" s="176">
        <f>375/19.1</f>
        <v>19.633507853403138</v>
      </c>
      <c r="F59" s="176">
        <f>1052.5/50</f>
        <v>21.05</v>
      </c>
      <c r="G59" s="176">
        <f>206/7.5</f>
        <v>27.466666666666665</v>
      </c>
      <c r="H59" s="176">
        <f>303.4/13.4</f>
        <v>22.641791044776117</v>
      </c>
      <c r="I59" s="199"/>
      <c r="J59" s="177"/>
      <c r="K59" s="176"/>
      <c r="L59" s="176"/>
      <c r="M59" s="178"/>
      <c r="N59" s="178"/>
      <c r="O59" s="178"/>
      <c r="P59" s="178"/>
      <c r="Q59" s="178"/>
      <c r="R59" s="178"/>
      <c r="S59" s="176"/>
    </row>
    <row r="60" spans="1:19" x14ac:dyDescent="0.25">
      <c r="A60" s="188"/>
      <c r="B60" s="189"/>
      <c r="C60" s="190"/>
      <c r="D60" s="190"/>
      <c r="E60" s="190"/>
      <c r="F60" s="190"/>
      <c r="G60" s="190"/>
      <c r="H60" s="190"/>
      <c r="I60" s="190"/>
      <c r="J60" s="203"/>
      <c r="K60" s="191"/>
      <c r="L60" s="191"/>
      <c r="M60" s="204"/>
      <c r="N60" s="204"/>
      <c r="O60" s="204"/>
      <c r="P60" s="204"/>
      <c r="Q60" s="204"/>
      <c r="R60" s="204"/>
      <c r="S60" s="204"/>
    </row>
    <row r="61" spans="1:19" x14ac:dyDescent="0.25">
      <c r="A61" s="171" t="s">
        <v>249</v>
      </c>
      <c r="B61" s="172">
        <v>2022</v>
      </c>
      <c r="C61" s="173">
        <v>15.92</v>
      </c>
      <c r="D61" s="173">
        <v>22.64</v>
      </c>
      <c r="E61" s="173">
        <v>18.34</v>
      </c>
      <c r="F61" s="173">
        <v>15.25</v>
      </c>
      <c r="G61" s="173">
        <v>0</v>
      </c>
      <c r="H61" s="173">
        <v>21.35</v>
      </c>
      <c r="I61" s="173"/>
      <c r="J61" s="174"/>
      <c r="K61" s="173"/>
      <c r="L61" s="173"/>
      <c r="M61" s="175"/>
      <c r="N61" s="175"/>
      <c r="O61" s="175"/>
      <c r="P61" s="175"/>
      <c r="Q61" s="175"/>
      <c r="R61" s="175"/>
      <c r="S61" s="175"/>
    </row>
    <row r="62" spans="1:19" x14ac:dyDescent="0.25">
      <c r="A62" s="195" t="s">
        <v>249</v>
      </c>
      <c r="B62" s="196">
        <v>2023</v>
      </c>
      <c r="C62" s="176">
        <f>16.71</f>
        <v>16.71</v>
      </c>
      <c r="D62" s="176">
        <v>23.77</v>
      </c>
      <c r="E62" s="176">
        <v>19.25</v>
      </c>
      <c r="F62" s="176">
        <v>16.010000000000002</v>
      </c>
      <c r="G62" s="176">
        <v>0</v>
      </c>
      <c r="H62" s="176">
        <v>21.18</v>
      </c>
      <c r="I62" s="176"/>
      <c r="J62" s="177"/>
      <c r="K62" s="176"/>
      <c r="L62" s="176"/>
      <c r="M62" s="178"/>
      <c r="N62" s="178"/>
      <c r="O62" s="178"/>
      <c r="P62" s="178"/>
      <c r="Q62" s="178"/>
      <c r="R62" s="178"/>
      <c r="S62" s="178"/>
    </row>
    <row r="63" spans="1:19" x14ac:dyDescent="0.25">
      <c r="A63" s="171" t="s">
        <v>275</v>
      </c>
      <c r="B63" s="172">
        <v>2022</v>
      </c>
      <c r="C63" s="173"/>
      <c r="D63" s="173"/>
      <c r="E63" s="173"/>
      <c r="F63" s="173"/>
      <c r="G63" s="173"/>
      <c r="H63" s="173"/>
      <c r="I63" s="173"/>
      <c r="J63" s="174"/>
      <c r="K63" s="173"/>
      <c r="L63" s="173"/>
      <c r="M63" s="175"/>
      <c r="N63" s="175"/>
      <c r="O63" s="175"/>
      <c r="P63" s="175"/>
      <c r="Q63" s="175"/>
      <c r="R63" s="175"/>
      <c r="S63" s="175"/>
    </row>
    <row r="64" spans="1:19" x14ac:dyDescent="0.25">
      <c r="A64" s="195" t="s">
        <v>275</v>
      </c>
      <c r="B64" s="196">
        <v>2023</v>
      </c>
      <c r="C64" s="176">
        <f>513.78/30</f>
        <v>17.125999999999998</v>
      </c>
      <c r="D64" s="176">
        <f>1902.98/77</f>
        <v>24.714025974025976</v>
      </c>
      <c r="E64" s="176">
        <f>275.27/19.1</f>
        <v>14.412041884816752</v>
      </c>
      <c r="F64" s="176">
        <f>816.15/50</f>
        <v>16.323</v>
      </c>
      <c r="G64" s="176">
        <f>230.82/7.5</f>
        <v>30.776</v>
      </c>
      <c r="H64" s="176">
        <f>192.45/8.9</f>
        <v>21.623595505617974</v>
      </c>
      <c r="I64" s="176"/>
      <c r="J64" s="177"/>
      <c r="K64" s="176"/>
      <c r="L64" s="176"/>
      <c r="M64" s="178"/>
      <c r="N64" s="178"/>
      <c r="O64" s="178"/>
      <c r="P64" s="178"/>
      <c r="Q64" s="178"/>
      <c r="R64" s="178"/>
      <c r="S64" s="178"/>
    </row>
  </sheetData>
  <sheetProtection algorithmName="SHA-512" hashValue="AkizwDGMJS/M4+iSe4un5bU63yxMwSdo9bI1bj1jAlurPFcvzM881C8MSyjmlnyclSXKnI9QltPzPNwqAcCPzA==" saltValue="XB5K2LaHTsmZCuLAH1eiog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Ophthalm... Comparative Tariffs</vt:lpstr>
      <vt:lpstr>RCF</vt:lpstr>
      <vt:lpstr>'Ophthalm... Comparative Tariffs'!Print_Area</vt:lpstr>
      <vt:lpstr>'Ophthalm...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2023-02-06T12:54:00Z</cp:lastPrinted>
  <dcterms:created xsi:type="dcterms:W3CDTF">2007-01-02T12:57:15Z</dcterms:created>
  <dcterms:modified xsi:type="dcterms:W3CDTF">2023-02-07T08:13:30Z</dcterms:modified>
</cp:coreProperties>
</file>