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Peet\Dropbox\Tariffs 2023\HealthMan Tariffs 2023\"/>
    </mc:Choice>
  </mc:AlternateContent>
  <xr:revisionPtr revIDLastSave="0" documentId="13_ncr:1_{8710305F-05CE-4F65-8BBA-4F9FA10B39CE}" xr6:coauthVersionLast="47" xr6:coauthVersionMax="47" xr10:uidLastSave="{00000000-0000-0000-0000-000000000000}"/>
  <bookViews>
    <workbookView xWindow="-120" yWindow="-120" windowWidth="20730" windowHeight="11160" xr2:uid="{00000000-000D-0000-FFFF-FFFF00000000}"/>
  </bookViews>
  <sheets>
    <sheet name="Physician Comparative Tariffs" sheetId="1" r:id="rId1"/>
    <sheet name="RCFs" sheetId="2" r:id="rId2"/>
  </sheets>
  <externalReferences>
    <externalReference r:id="rId3"/>
  </externalReferences>
  <definedNames>
    <definedName name="PredDLR">[1]Parameters!$C$45</definedName>
    <definedName name="PredOHR">[1]Parameters!$C$38</definedName>
    <definedName name="_xlnm.Print_Area" localSheetId="0">'Physician Comparative Tariffs'!$A$1:$BB$94</definedName>
    <definedName name="_xlnm.Print_Titles" localSheetId="0">'Physician Comparative Tariffs'!$A:$E,'Physician Comparative Tariffs'!$1:$8</definedName>
    <definedName name="VAT">[1]Parameters!$C$20</definedName>
  </definedNames>
  <calcPr calcId="181029"/>
</workbook>
</file>

<file path=xl/calcChain.xml><?xml version="1.0" encoding="utf-8"?>
<calcChain xmlns="http://schemas.openxmlformats.org/spreadsheetml/2006/main">
  <c r="AX75" i="1" l="1"/>
  <c r="AX76" i="1"/>
  <c r="AX77" i="1"/>
  <c r="AW77" i="1" s="1"/>
  <c r="AX78" i="1"/>
  <c r="AX79" i="1"/>
  <c r="AW79" i="1" s="1"/>
  <c r="AW78" i="1"/>
  <c r="AX92" i="1"/>
  <c r="AX91" i="1"/>
  <c r="AX87" i="1"/>
  <c r="AX86" i="1"/>
  <c r="AX85" i="1"/>
  <c r="AX84" i="1"/>
  <c r="AX83" i="1"/>
  <c r="AX82" i="1"/>
  <c r="AX81" i="1"/>
  <c r="AX80" i="1"/>
  <c r="AX41" i="1"/>
  <c r="AX42" i="1"/>
  <c r="AW42" i="1" s="1"/>
  <c r="AX43" i="1"/>
  <c r="AX44" i="1"/>
  <c r="AW44" i="1" s="1"/>
  <c r="AX45" i="1"/>
  <c r="AX46" i="1"/>
  <c r="AW46" i="1" s="1"/>
  <c r="AX47" i="1"/>
  <c r="AX48" i="1"/>
  <c r="AW48" i="1" s="1"/>
  <c r="AX49" i="1"/>
  <c r="AX50" i="1"/>
  <c r="AW50" i="1" s="1"/>
  <c r="AX51" i="1"/>
  <c r="AX52" i="1"/>
  <c r="AW52" i="1" s="1"/>
  <c r="AX53" i="1"/>
  <c r="AX54" i="1"/>
  <c r="AW54" i="1" s="1"/>
  <c r="AX55" i="1"/>
  <c r="AX56" i="1"/>
  <c r="AW56" i="1" s="1"/>
  <c r="AX57" i="1"/>
  <c r="AX58" i="1"/>
  <c r="AW58" i="1" s="1"/>
  <c r="AX59" i="1"/>
  <c r="AX60" i="1"/>
  <c r="AW60" i="1" s="1"/>
  <c r="AX61" i="1"/>
  <c r="AX62" i="1"/>
  <c r="AW62" i="1" s="1"/>
  <c r="AX63" i="1"/>
  <c r="AX64" i="1"/>
  <c r="AW64" i="1" s="1"/>
  <c r="AX65" i="1"/>
  <c r="AX66" i="1"/>
  <c r="AW66" i="1" s="1"/>
  <c r="AX67" i="1"/>
  <c r="AX68" i="1"/>
  <c r="AW68" i="1" s="1"/>
  <c r="AX69" i="1"/>
  <c r="AX70" i="1"/>
  <c r="AW70" i="1" s="1"/>
  <c r="AX71" i="1"/>
  <c r="AX72" i="1"/>
  <c r="AW72" i="1" s="1"/>
  <c r="AX73" i="1"/>
  <c r="AX74" i="1"/>
  <c r="AW74" i="1" s="1"/>
  <c r="AX40" i="1"/>
  <c r="AW40" i="1" s="1"/>
  <c r="AW92" i="1"/>
  <c r="AW91" i="1"/>
  <c r="AW41" i="1"/>
  <c r="AW43" i="1"/>
  <c r="AW45" i="1"/>
  <c r="AW47" i="1"/>
  <c r="AW49" i="1"/>
  <c r="AW51" i="1"/>
  <c r="AW53" i="1"/>
  <c r="AW55" i="1"/>
  <c r="AW57" i="1"/>
  <c r="AW59" i="1"/>
  <c r="AW61" i="1"/>
  <c r="AW63" i="1"/>
  <c r="AW65" i="1"/>
  <c r="AW67" i="1"/>
  <c r="AW69" i="1"/>
  <c r="AW71" i="1"/>
  <c r="AW73" i="1"/>
  <c r="AW75" i="1"/>
  <c r="AW76" i="1"/>
  <c r="AW80" i="1"/>
  <c r="AW81" i="1"/>
  <c r="AW82" i="1"/>
  <c r="AW83" i="1"/>
  <c r="AW84" i="1"/>
  <c r="AW85" i="1"/>
  <c r="AW86" i="1"/>
  <c r="AW87" i="1"/>
  <c r="H64" i="2" l="1"/>
  <c r="G64" i="2"/>
  <c r="F64" i="2"/>
  <c r="E64" i="2"/>
  <c r="D64" i="2"/>
  <c r="C64" i="2"/>
  <c r="C62" i="2"/>
  <c r="H59" i="2"/>
  <c r="G59" i="2"/>
  <c r="F59" i="2"/>
  <c r="E59" i="2"/>
  <c r="D59" i="2"/>
  <c r="C59" i="2"/>
  <c r="S56" i="2"/>
  <c r="S54" i="2"/>
  <c r="M47" i="2"/>
  <c r="L47" i="2" s="1"/>
  <c r="C47" i="2"/>
  <c r="C45" i="2"/>
  <c r="M43" i="2"/>
  <c r="L43" i="2" s="1"/>
  <c r="C43" i="2"/>
  <c r="H41" i="2"/>
  <c r="H39" i="2"/>
  <c r="G39" i="2"/>
  <c r="F39" i="2"/>
  <c r="D39" i="2"/>
  <c r="E39" i="2" s="1"/>
  <c r="C39" i="2"/>
  <c r="H37" i="2"/>
  <c r="G37" i="2"/>
  <c r="F37" i="2"/>
  <c r="E37" i="2"/>
  <c r="D37" i="2"/>
  <c r="C37" i="2"/>
  <c r="H29" i="2"/>
  <c r="G29" i="2"/>
  <c r="F29" i="2"/>
  <c r="E29" i="2"/>
  <c r="D29" i="2"/>
  <c r="C29" i="2"/>
  <c r="H28" i="2"/>
  <c r="H27" i="2" s="1"/>
  <c r="G28" i="2"/>
  <c r="F28" i="2"/>
  <c r="E28" i="2"/>
  <c r="D28" i="2"/>
  <c r="D27" i="2" s="1"/>
  <c r="C28" i="2"/>
  <c r="G27" i="2"/>
  <c r="F27" i="2"/>
  <c r="E27" i="2"/>
  <c r="C27" i="2"/>
  <c r="H26" i="2"/>
  <c r="G26" i="2"/>
  <c r="F26" i="2"/>
  <c r="E26" i="2"/>
  <c r="D26" i="2"/>
  <c r="C26" i="2"/>
  <c r="S25" i="2"/>
  <c r="R25" i="2"/>
  <c r="Q25" i="2"/>
  <c r="P25" i="2"/>
  <c r="O25" i="2"/>
  <c r="N25" i="2"/>
  <c r="M25" i="2"/>
  <c r="L25" i="2"/>
  <c r="K25" i="2"/>
  <c r="H25" i="2"/>
  <c r="G25" i="2"/>
  <c r="F25" i="2"/>
  <c r="E25" i="2"/>
  <c r="D25" i="2"/>
  <c r="C25" i="2"/>
  <c r="E24" i="2"/>
  <c r="H23" i="2"/>
  <c r="H24" i="2" s="1"/>
  <c r="G23" i="2"/>
  <c r="G24" i="2" s="1"/>
  <c r="F23" i="2"/>
  <c r="F24" i="2" s="1"/>
  <c r="E23" i="2"/>
  <c r="D23" i="2"/>
  <c r="D24" i="2" s="1"/>
  <c r="C23" i="2"/>
  <c r="C24" i="2" s="1"/>
  <c r="H22" i="2"/>
  <c r="G22" i="2"/>
  <c r="F22" i="2"/>
  <c r="E22" i="2"/>
  <c r="D22" i="2"/>
  <c r="C22" i="2"/>
  <c r="K43" i="2" l="1"/>
  <c r="K47" i="2"/>
  <c r="AO12" i="1"/>
  <c r="AO13" i="1"/>
  <c r="AO14" i="1"/>
  <c r="AO15" i="1"/>
  <c r="AO16" i="1"/>
  <c r="AO17" i="1"/>
  <c r="AO18" i="1"/>
  <c r="AO19" i="1"/>
  <c r="AO20" i="1"/>
  <c r="AO23" i="1"/>
  <c r="AO24" i="1"/>
  <c r="AO25" i="1"/>
  <c r="AO26" i="1"/>
  <c r="AO27" i="1"/>
  <c r="AO28" i="1"/>
  <c r="AO29" i="1"/>
  <c r="AO30" i="1"/>
  <c r="AO11" i="1"/>
  <c r="AX12" i="1"/>
  <c r="AX13" i="1"/>
  <c r="AX14" i="1"/>
  <c r="AX15" i="1"/>
  <c r="AX16" i="1"/>
  <c r="AX17" i="1"/>
  <c r="AX18" i="1"/>
  <c r="AX19" i="1"/>
  <c r="AX20" i="1"/>
  <c r="AX23" i="1"/>
  <c r="AX24" i="1"/>
  <c r="AX25" i="1"/>
  <c r="AX26" i="1"/>
  <c r="AX27" i="1"/>
  <c r="AX28" i="1"/>
  <c r="AX29" i="1"/>
  <c r="AX30" i="1"/>
  <c r="AX11" i="1"/>
  <c r="F11" i="1" l="1"/>
  <c r="F12" i="1"/>
  <c r="F13" i="1"/>
  <c r="F14" i="1"/>
  <c r="F15" i="1"/>
  <c r="F16" i="1"/>
  <c r="F17" i="1"/>
  <c r="F18" i="1"/>
  <c r="F19" i="1"/>
  <c r="F20" i="1"/>
  <c r="F21" i="1"/>
  <c r="F22" i="1"/>
  <c r="F23" i="1"/>
  <c r="F24" i="1"/>
  <c r="F25" i="1"/>
  <c r="F26" i="1"/>
  <c r="F27" i="1"/>
  <c r="F28" i="1"/>
  <c r="F29" i="1"/>
  <c r="F30" i="1"/>
  <c r="AY17" i="1" l="1"/>
  <c r="U17" i="1"/>
  <c r="W17" i="1"/>
  <c r="E17" i="1" l="1"/>
  <c r="D17" i="1" s="1"/>
  <c r="G17" i="1"/>
  <c r="I17" i="1"/>
  <c r="V17" i="1"/>
  <c r="X17" i="1"/>
  <c r="Y17" i="1"/>
  <c r="Z17" i="1"/>
  <c r="AA17" i="1"/>
  <c r="AB17" i="1"/>
  <c r="AC17" i="1"/>
  <c r="AD17" i="1"/>
  <c r="AF17" i="1"/>
  <c r="AG17" i="1"/>
  <c r="AH17" i="1"/>
  <c r="AI17" i="1"/>
  <c r="AK17" i="1"/>
  <c r="AM17" i="1"/>
  <c r="AP17" i="1"/>
  <c r="AV17" i="1"/>
  <c r="AZ17" i="1"/>
  <c r="BB17" i="1"/>
  <c r="BA17" i="1" s="1"/>
  <c r="M17" i="1" l="1"/>
  <c r="P17" i="1"/>
  <c r="J17" i="1"/>
  <c r="N17" i="1"/>
  <c r="L17" i="1"/>
  <c r="K17" i="1"/>
  <c r="O17" i="1"/>
  <c r="G78" i="1" l="1"/>
  <c r="F78" i="1" s="1"/>
  <c r="I78" i="1"/>
  <c r="J78" i="1" s="1"/>
  <c r="R78" i="1"/>
  <c r="Q78" i="1" s="1"/>
  <c r="V78" i="1"/>
  <c r="U78" i="1" s="1"/>
  <c r="AF78" i="1"/>
  <c r="AE78" i="1" s="1"/>
  <c r="AO78" i="1"/>
  <c r="AN78" i="1" s="1"/>
  <c r="AP78" i="1" s="1"/>
  <c r="AR78" i="1"/>
  <c r="AT78" i="1" s="1"/>
  <c r="AV78" i="1"/>
  <c r="AU78" i="1" s="1"/>
  <c r="BB78" i="1"/>
  <c r="E78" i="1" s="1"/>
  <c r="D78" i="1" s="1"/>
  <c r="E42" i="1"/>
  <c r="D42" i="1" s="1"/>
  <c r="G42" i="1"/>
  <c r="F42" i="1" s="1"/>
  <c r="I42" i="1"/>
  <c r="R42" i="1"/>
  <c r="Q42" i="1" s="1"/>
  <c r="V42" i="1"/>
  <c r="AF42" i="1"/>
  <c r="AE42" i="1" s="1"/>
  <c r="AI42" i="1" s="1"/>
  <c r="AO42" i="1"/>
  <c r="AN42" i="1" s="1"/>
  <c r="AP42" i="1" s="1"/>
  <c r="AR42" i="1"/>
  <c r="AV42" i="1"/>
  <c r="AU42" i="1" s="1"/>
  <c r="BB42" i="1"/>
  <c r="BA42" i="1" s="1"/>
  <c r="E43" i="1"/>
  <c r="D43" i="1" s="1"/>
  <c r="G43" i="1"/>
  <c r="F43" i="1" s="1"/>
  <c r="I43" i="1"/>
  <c r="M43" i="1" s="1"/>
  <c r="R43" i="1"/>
  <c r="Q43" i="1" s="1"/>
  <c r="V43" i="1"/>
  <c r="AF43" i="1"/>
  <c r="AE43" i="1" s="1"/>
  <c r="AH43" i="1" s="1"/>
  <c r="AO43" i="1"/>
  <c r="AN43" i="1" s="1"/>
  <c r="AP43" i="1" s="1"/>
  <c r="AR43" i="1"/>
  <c r="AQ43" i="1" s="1"/>
  <c r="AS43" i="1" s="1"/>
  <c r="AV43" i="1"/>
  <c r="AU43" i="1" s="1"/>
  <c r="BB43" i="1"/>
  <c r="BA43" i="1" s="1"/>
  <c r="E44" i="1"/>
  <c r="D44" i="1" s="1"/>
  <c r="G44" i="1"/>
  <c r="F44" i="1" s="1"/>
  <c r="I44" i="1"/>
  <c r="M44" i="1" s="1"/>
  <c r="R44" i="1"/>
  <c r="Q44" i="1" s="1"/>
  <c r="V44" i="1"/>
  <c r="X44" i="1" s="1"/>
  <c r="AC44" i="1" s="1"/>
  <c r="AF44" i="1"/>
  <c r="AE44" i="1" s="1"/>
  <c r="AO44" i="1"/>
  <c r="AN44" i="1" s="1"/>
  <c r="AP44" i="1" s="1"/>
  <c r="AR44" i="1"/>
  <c r="AQ44" i="1" s="1"/>
  <c r="AS44" i="1" s="1"/>
  <c r="AV44" i="1"/>
  <c r="AU44" i="1" s="1"/>
  <c r="BB44" i="1"/>
  <c r="BA44" i="1" s="1"/>
  <c r="E52" i="1"/>
  <c r="D52" i="1" s="1"/>
  <c r="G52" i="1"/>
  <c r="F52" i="1" s="1"/>
  <c r="I52" i="1"/>
  <c r="M52" i="1" s="1"/>
  <c r="R52" i="1"/>
  <c r="Q52" i="1" s="1"/>
  <c r="S52" i="1" s="1"/>
  <c r="V52" i="1"/>
  <c r="U52" i="1" s="1"/>
  <c r="AF52" i="1"/>
  <c r="AE52" i="1" s="1"/>
  <c r="AO52" i="1"/>
  <c r="AN52" i="1" s="1"/>
  <c r="AP52" i="1" s="1"/>
  <c r="AR52" i="1"/>
  <c r="AV52" i="1"/>
  <c r="AU52" i="1" s="1"/>
  <c r="BB52" i="1"/>
  <c r="BA52" i="1" s="1"/>
  <c r="E54" i="1"/>
  <c r="D54" i="1" s="1"/>
  <c r="G54" i="1"/>
  <c r="F54" i="1" s="1"/>
  <c r="I54" i="1"/>
  <c r="H54" i="1" s="1"/>
  <c r="R54" i="1"/>
  <c r="Q54" i="1" s="1"/>
  <c r="T54" i="1" s="1"/>
  <c r="V54" i="1"/>
  <c r="U54" i="1" s="1"/>
  <c r="AF54" i="1"/>
  <c r="AE54" i="1" s="1"/>
  <c r="AI54" i="1" s="1"/>
  <c r="AO54" i="1"/>
  <c r="AN54" i="1" s="1"/>
  <c r="AP54" i="1" s="1"/>
  <c r="AR54" i="1"/>
  <c r="AT54" i="1" s="1"/>
  <c r="AV54" i="1"/>
  <c r="AU54" i="1" s="1"/>
  <c r="BB54" i="1"/>
  <c r="BA54" i="1" s="1"/>
  <c r="E55" i="1"/>
  <c r="D55" i="1" s="1"/>
  <c r="G55" i="1"/>
  <c r="F55" i="1" s="1"/>
  <c r="I55" i="1"/>
  <c r="H55" i="1" s="1"/>
  <c r="R55" i="1"/>
  <c r="Q55" i="1" s="1"/>
  <c r="S55" i="1" s="1"/>
  <c r="V55" i="1"/>
  <c r="AF55" i="1"/>
  <c r="AE55" i="1" s="1"/>
  <c r="AO55" i="1"/>
  <c r="AN55" i="1" s="1"/>
  <c r="AP55" i="1" s="1"/>
  <c r="AR55" i="1"/>
  <c r="AQ55" i="1" s="1"/>
  <c r="AS55" i="1" s="1"/>
  <c r="AV55" i="1"/>
  <c r="AU55" i="1" s="1"/>
  <c r="BB55" i="1"/>
  <c r="BA55" i="1" s="1"/>
  <c r="E56" i="1"/>
  <c r="D56" i="1" s="1"/>
  <c r="G56" i="1"/>
  <c r="F56" i="1" s="1"/>
  <c r="I56" i="1"/>
  <c r="R56" i="1"/>
  <c r="Q56" i="1" s="1"/>
  <c r="V56" i="1"/>
  <c r="X56" i="1" s="1"/>
  <c r="AC56" i="1" s="1"/>
  <c r="AF56" i="1"/>
  <c r="AE56" i="1" s="1"/>
  <c r="AH56" i="1" s="1"/>
  <c r="AO56" i="1"/>
  <c r="AN56" i="1" s="1"/>
  <c r="AP56" i="1" s="1"/>
  <c r="AR56" i="1"/>
  <c r="AT56" i="1" s="1"/>
  <c r="AV56" i="1"/>
  <c r="AU56" i="1" s="1"/>
  <c r="BB56" i="1"/>
  <c r="BA56" i="1" s="1"/>
  <c r="G59" i="1"/>
  <c r="F59" i="1" s="1"/>
  <c r="I59" i="1"/>
  <c r="M59" i="1" s="1"/>
  <c r="R59" i="1"/>
  <c r="Q59" i="1" s="1"/>
  <c r="S59" i="1" s="1"/>
  <c r="V59" i="1"/>
  <c r="U59" i="1" s="1"/>
  <c r="AF59" i="1"/>
  <c r="AE59" i="1" s="1"/>
  <c r="AO59" i="1"/>
  <c r="AN59" i="1" s="1"/>
  <c r="AP59" i="1" s="1"/>
  <c r="AR59" i="1"/>
  <c r="AV59" i="1"/>
  <c r="AU59" i="1" s="1"/>
  <c r="BB59" i="1"/>
  <c r="E60" i="1"/>
  <c r="D60" i="1" s="1"/>
  <c r="G60" i="1"/>
  <c r="F60" i="1" s="1"/>
  <c r="I60" i="1"/>
  <c r="R60" i="1"/>
  <c r="Q60" i="1" s="1"/>
  <c r="V60" i="1"/>
  <c r="U60" i="1" s="1"/>
  <c r="AF60" i="1"/>
  <c r="AE60" i="1" s="1"/>
  <c r="AO60" i="1"/>
  <c r="AN60" i="1" s="1"/>
  <c r="AP60" i="1" s="1"/>
  <c r="AR60" i="1"/>
  <c r="AT60" i="1" s="1"/>
  <c r="AV60" i="1"/>
  <c r="AU60" i="1" s="1"/>
  <c r="BB60" i="1"/>
  <c r="BA60" i="1" s="1"/>
  <c r="E62" i="1"/>
  <c r="D62" i="1" s="1"/>
  <c r="G62" i="1"/>
  <c r="F62" i="1" s="1"/>
  <c r="I62" i="1"/>
  <c r="J62" i="1" s="1"/>
  <c r="R62" i="1"/>
  <c r="Q62" i="1" s="1"/>
  <c r="T62" i="1" s="1"/>
  <c r="V62" i="1"/>
  <c r="U62" i="1" s="1"/>
  <c r="AF62" i="1"/>
  <c r="AE62" i="1" s="1"/>
  <c r="AO62" i="1"/>
  <c r="AN62" i="1" s="1"/>
  <c r="AP62" i="1" s="1"/>
  <c r="AR62" i="1"/>
  <c r="AT62" i="1" s="1"/>
  <c r="AV62" i="1"/>
  <c r="AU62" i="1" s="1"/>
  <c r="BB62" i="1"/>
  <c r="BA62" i="1" s="1"/>
  <c r="E63" i="1"/>
  <c r="D63" i="1" s="1"/>
  <c r="G63" i="1"/>
  <c r="F63" i="1" s="1"/>
  <c r="I63" i="1"/>
  <c r="K63" i="1" s="1"/>
  <c r="R63" i="1"/>
  <c r="Q63" i="1" s="1"/>
  <c r="V63" i="1"/>
  <c r="AF63" i="1"/>
  <c r="AE63" i="1" s="1"/>
  <c r="AI63" i="1" s="1"/>
  <c r="AO63" i="1"/>
  <c r="AN63" i="1" s="1"/>
  <c r="AP63" i="1" s="1"/>
  <c r="AR63" i="1"/>
  <c r="AV63" i="1"/>
  <c r="AU63" i="1" s="1"/>
  <c r="BB63" i="1"/>
  <c r="BA63" i="1" s="1"/>
  <c r="E64" i="1"/>
  <c r="D64" i="1" s="1"/>
  <c r="G64" i="1"/>
  <c r="F64" i="1" s="1"/>
  <c r="I64" i="1"/>
  <c r="J64" i="1" s="1"/>
  <c r="R64" i="1"/>
  <c r="Q64" i="1" s="1"/>
  <c r="V64" i="1"/>
  <c r="AF64" i="1"/>
  <c r="AE64" i="1" s="1"/>
  <c r="AO64" i="1"/>
  <c r="AN64" i="1" s="1"/>
  <c r="AP64" i="1" s="1"/>
  <c r="AR64" i="1"/>
  <c r="AV64" i="1"/>
  <c r="AU64" i="1" s="1"/>
  <c r="BB64" i="1"/>
  <c r="BA64" i="1" s="1"/>
  <c r="E65" i="1"/>
  <c r="D65" i="1" s="1"/>
  <c r="G65" i="1"/>
  <c r="F65" i="1" s="1"/>
  <c r="I65" i="1"/>
  <c r="R65" i="1"/>
  <c r="Q65" i="1" s="1"/>
  <c r="V65" i="1"/>
  <c r="AF65" i="1"/>
  <c r="AE65" i="1" s="1"/>
  <c r="AH65" i="1" s="1"/>
  <c r="AO65" i="1"/>
  <c r="AN65" i="1" s="1"/>
  <c r="AP65" i="1" s="1"/>
  <c r="AR65" i="1"/>
  <c r="AT65" i="1" s="1"/>
  <c r="AV65" i="1"/>
  <c r="AU65" i="1" s="1"/>
  <c r="BB65" i="1"/>
  <c r="BA65" i="1" s="1"/>
  <c r="E66" i="1"/>
  <c r="D66" i="1" s="1"/>
  <c r="G66" i="1"/>
  <c r="F66" i="1" s="1"/>
  <c r="I66" i="1"/>
  <c r="K66" i="1" s="1"/>
  <c r="R66" i="1"/>
  <c r="Q66" i="1" s="1"/>
  <c r="V66" i="1"/>
  <c r="AF66" i="1"/>
  <c r="AE66" i="1" s="1"/>
  <c r="AO66" i="1"/>
  <c r="AN66" i="1" s="1"/>
  <c r="AP66" i="1" s="1"/>
  <c r="AR66" i="1"/>
  <c r="AV66" i="1"/>
  <c r="AU66" i="1" s="1"/>
  <c r="BB66" i="1"/>
  <c r="BA66" i="1" s="1"/>
  <c r="E69" i="1"/>
  <c r="D69" i="1" s="1"/>
  <c r="G69" i="1"/>
  <c r="F69" i="1" s="1"/>
  <c r="I69" i="1"/>
  <c r="N69" i="1" s="1"/>
  <c r="R69" i="1"/>
  <c r="Q69" i="1" s="1"/>
  <c r="S69" i="1" s="1"/>
  <c r="V69" i="1"/>
  <c r="AF69" i="1"/>
  <c r="AE69" i="1" s="1"/>
  <c r="AH69" i="1" s="1"/>
  <c r="AO69" i="1"/>
  <c r="AN69" i="1" s="1"/>
  <c r="AP69" i="1" s="1"/>
  <c r="AR69" i="1"/>
  <c r="AV69" i="1"/>
  <c r="AU69" i="1" s="1"/>
  <c r="BB69" i="1"/>
  <c r="BA69" i="1" s="1"/>
  <c r="E71" i="1"/>
  <c r="D71" i="1" s="1"/>
  <c r="G71" i="1"/>
  <c r="F71" i="1" s="1"/>
  <c r="I71" i="1"/>
  <c r="K71" i="1" s="1"/>
  <c r="R71" i="1"/>
  <c r="Q71" i="1" s="1"/>
  <c r="T71" i="1" s="1"/>
  <c r="V71" i="1"/>
  <c r="X71" i="1" s="1"/>
  <c r="W71" i="1" s="1"/>
  <c r="Y71" i="1" s="1"/>
  <c r="AF71" i="1"/>
  <c r="AE71" i="1" s="1"/>
  <c r="AH71" i="1" s="1"/>
  <c r="AO71" i="1"/>
  <c r="AN71" i="1" s="1"/>
  <c r="AP71" i="1" s="1"/>
  <c r="AR71" i="1"/>
  <c r="AQ71" i="1" s="1"/>
  <c r="AS71" i="1" s="1"/>
  <c r="AV71" i="1"/>
  <c r="AU71" i="1" s="1"/>
  <c r="BB71" i="1"/>
  <c r="BA71" i="1" s="1"/>
  <c r="E73" i="1"/>
  <c r="D73" i="1" s="1"/>
  <c r="G73" i="1"/>
  <c r="F73" i="1" s="1"/>
  <c r="I73" i="1"/>
  <c r="M73" i="1" s="1"/>
  <c r="R73" i="1"/>
  <c r="Q73" i="1" s="1"/>
  <c r="S73" i="1" s="1"/>
  <c r="V73" i="1"/>
  <c r="AF73" i="1"/>
  <c r="AE73" i="1" s="1"/>
  <c r="AH73" i="1" s="1"/>
  <c r="AO73" i="1"/>
  <c r="AN73" i="1" s="1"/>
  <c r="AP73" i="1" s="1"/>
  <c r="AR73" i="1"/>
  <c r="AQ73" i="1" s="1"/>
  <c r="AS73" i="1" s="1"/>
  <c r="AV73" i="1"/>
  <c r="AU73" i="1" s="1"/>
  <c r="BB73" i="1"/>
  <c r="BA73" i="1" s="1"/>
  <c r="E74" i="1"/>
  <c r="D74" i="1" s="1"/>
  <c r="G74" i="1"/>
  <c r="F74" i="1" s="1"/>
  <c r="I74" i="1"/>
  <c r="K74" i="1" s="1"/>
  <c r="R74" i="1"/>
  <c r="Q74" i="1" s="1"/>
  <c r="T74" i="1" s="1"/>
  <c r="V74" i="1"/>
  <c r="X74" i="1" s="1"/>
  <c r="AA74" i="1" s="1"/>
  <c r="AF74" i="1"/>
  <c r="AE74" i="1" s="1"/>
  <c r="AO74" i="1"/>
  <c r="AN74" i="1" s="1"/>
  <c r="AP74" i="1" s="1"/>
  <c r="AR74" i="1"/>
  <c r="AT74" i="1" s="1"/>
  <c r="AV74" i="1"/>
  <c r="AU74" i="1" s="1"/>
  <c r="BB74" i="1"/>
  <c r="BA74" i="1" s="1"/>
  <c r="E80" i="1"/>
  <c r="D80" i="1" s="1"/>
  <c r="G80" i="1"/>
  <c r="F80" i="1" s="1"/>
  <c r="I80" i="1"/>
  <c r="L80" i="1" s="1"/>
  <c r="R80" i="1"/>
  <c r="Q80" i="1" s="1"/>
  <c r="S80" i="1" s="1"/>
  <c r="V80" i="1"/>
  <c r="U80" i="1" s="1"/>
  <c r="AF80" i="1"/>
  <c r="AE80" i="1" s="1"/>
  <c r="AO80" i="1"/>
  <c r="AN80" i="1" s="1"/>
  <c r="AP80" i="1" s="1"/>
  <c r="AR80" i="1"/>
  <c r="AQ80" i="1" s="1"/>
  <c r="AS80" i="1" s="1"/>
  <c r="AV80" i="1"/>
  <c r="AU80" i="1" s="1"/>
  <c r="BB80" i="1"/>
  <c r="BA80" i="1" s="1"/>
  <c r="E81" i="1"/>
  <c r="D81" i="1" s="1"/>
  <c r="G81" i="1"/>
  <c r="F81" i="1" s="1"/>
  <c r="I81" i="1"/>
  <c r="N81" i="1" s="1"/>
  <c r="R81" i="1"/>
  <c r="Q81" i="1" s="1"/>
  <c r="T81" i="1" s="1"/>
  <c r="V81" i="1"/>
  <c r="X81" i="1" s="1"/>
  <c r="AA81" i="1" s="1"/>
  <c r="AF81" i="1"/>
  <c r="AE81" i="1" s="1"/>
  <c r="AH81" i="1" s="1"/>
  <c r="AO81" i="1"/>
  <c r="AN81" i="1" s="1"/>
  <c r="AP81" i="1" s="1"/>
  <c r="AR81" i="1"/>
  <c r="AT81" i="1" s="1"/>
  <c r="AV81" i="1"/>
  <c r="AU81" i="1" s="1"/>
  <c r="BB81" i="1"/>
  <c r="BA81" i="1" s="1"/>
  <c r="E82" i="1"/>
  <c r="D82" i="1" s="1"/>
  <c r="G82" i="1"/>
  <c r="F82" i="1" s="1"/>
  <c r="I82" i="1"/>
  <c r="P82" i="1" s="1"/>
  <c r="R82" i="1"/>
  <c r="Q82" i="1" s="1"/>
  <c r="V82" i="1"/>
  <c r="AF82" i="1"/>
  <c r="AE82" i="1" s="1"/>
  <c r="AI82" i="1" s="1"/>
  <c r="AO82" i="1"/>
  <c r="AN82" i="1" s="1"/>
  <c r="AP82" i="1" s="1"/>
  <c r="AR82" i="1"/>
  <c r="AQ82" i="1" s="1"/>
  <c r="AS82" i="1" s="1"/>
  <c r="AV82" i="1"/>
  <c r="AU82" i="1" s="1"/>
  <c r="BB82" i="1"/>
  <c r="BA82" i="1" s="1"/>
  <c r="E83" i="1"/>
  <c r="D83" i="1" s="1"/>
  <c r="G83" i="1"/>
  <c r="F83" i="1" s="1"/>
  <c r="I83" i="1"/>
  <c r="R83" i="1"/>
  <c r="Q83" i="1" s="1"/>
  <c r="T83" i="1" s="1"/>
  <c r="V83" i="1"/>
  <c r="U83" i="1" s="1"/>
  <c r="AF83" i="1"/>
  <c r="AE83" i="1" s="1"/>
  <c r="AO83" i="1"/>
  <c r="AN83" i="1" s="1"/>
  <c r="AP83" i="1" s="1"/>
  <c r="AR83" i="1"/>
  <c r="AV83" i="1"/>
  <c r="AU83" i="1" s="1"/>
  <c r="BB83" i="1"/>
  <c r="BA83" i="1" s="1"/>
  <c r="E84" i="1"/>
  <c r="D84" i="1" s="1"/>
  <c r="G84" i="1"/>
  <c r="F84" i="1" s="1"/>
  <c r="I84" i="1"/>
  <c r="L84" i="1" s="1"/>
  <c r="R84" i="1"/>
  <c r="Q84" i="1" s="1"/>
  <c r="S84" i="1" s="1"/>
  <c r="V84" i="1"/>
  <c r="AF84" i="1"/>
  <c r="AE84" i="1" s="1"/>
  <c r="AO84" i="1"/>
  <c r="AN84" i="1" s="1"/>
  <c r="AP84" i="1" s="1"/>
  <c r="AR84" i="1"/>
  <c r="AT84" i="1" s="1"/>
  <c r="AV84" i="1"/>
  <c r="AU84" i="1" s="1"/>
  <c r="BB84" i="1"/>
  <c r="BA84" i="1" s="1"/>
  <c r="E85" i="1"/>
  <c r="D85" i="1" s="1"/>
  <c r="G85" i="1"/>
  <c r="F85" i="1" s="1"/>
  <c r="I85" i="1"/>
  <c r="L85" i="1" s="1"/>
  <c r="R85" i="1"/>
  <c r="Q85" i="1" s="1"/>
  <c r="S85" i="1" s="1"/>
  <c r="V85" i="1"/>
  <c r="U85" i="1" s="1"/>
  <c r="AF85" i="1"/>
  <c r="AE85" i="1" s="1"/>
  <c r="AO85" i="1"/>
  <c r="AN85" i="1" s="1"/>
  <c r="AP85" i="1" s="1"/>
  <c r="AR85" i="1"/>
  <c r="AV85" i="1"/>
  <c r="AU85" i="1" s="1"/>
  <c r="BB85" i="1"/>
  <c r="BA85" i="1" s="1"/>
  <c r="E86" i="1"/>
  <c r="D86" i="1" s="1"/>
  <c r="G86" i="1"/>
  <c r="F86" i="1" s="1"/>
  <c r="I86" i="1"/>
  <c r="N86" i="1" s="1"/>
  <c r="R86" i="1"/>
  <c r="Q86" i="1" s="1"/>
  <c r="T86" i="1" s="1"/>
  <c r="V86" i="1"/>
  <c r="X86" i="1" s="1"/>
  <c r="W86" i="1" s="1"/>
  <c r="Y86" i="1" s="1"/>
  <c r="AF86" i="1"/>
  <c r="AE86" i="1" s="1"/>
  <c r="AI86" i="1" s="1"/>
  <c r="AO86" i="1"/>
  <c r="AN86" i="1" s="1"/>
  <c r="AP86" i="1" s="1"/>
  <c r="AR86" i="1"/>
  <c r="AQ86" i="1" s="1"/>
  <c r="AS86" i="1" s="1"/>
  <c r="AV86" i="1"/>
  <c r="AU86" i="1" s="1"/>
  <c r="BB86" i="1"/>
  <c r="BA86" i="1" s="1"/>
  <c r="E87" i="1"/>
  <c r="D87" i="1" s="1"/>
  <c r="G87" i="1"/>
  <c r="F87" i="1" s="1"/>
  <c r="I87" i="1"/>
  <c r="K87" i="1" s="1"/>
  <c r="R87" i="1"/>
  <c r="Q87" i="1" s="1"/>
  <c r="V87" i="1"/>
  <c r="AF87" i="1"/>
  <c r="AE87" i="1" s="1"/>
  <c r="AH87" i="1" s="1"/>
  <c r="AO87" i="1"/>
  <c r="AN87" i="1" s="1"/>
  <c r="AP87" i="1" s="1"/>
  <c r="AR87" i="1"/>
  <c r="AV87" i="1"/>
  <c r="AU87" i="1" s="1"/>
  <c r="BB87" i="1"/>
  <c r="BA87" i="1" s="1"/>
  <c r="P66" i="1" l="1"/>
  <c r="J66" i="1"/>
  <c r="M74" i="1"/>
  <c r="K54" i="1"/>
  <c r="M78" i="1"/>
  <c r="X83" i="1"/>
  <c r="W83" i="1" s="1"/>
  <c r="Y83" i="1" s="1"/>
  <c r="X78" i="1"/>
  <c r="AC78" i="1" s="1"/>
  <c r="M86" i="1"/>
  <c r="N73" i="1"/>
  <c r="AQ56" i="1"/>
  <c r="AS56" i="1" s="1"/>
  <c r="P78" i="1"/>
  <c r="L78" i="1"/>
  <c r="H78" i="1"/>
  <c r="O78" i="1"/>
  <c r="K78" i="1"/>
  <c r="AT43" i="1"/>
  <c r="N78" i="1"/>
  <c r="AG78" i="1"/>
  <c r="AI78" i="1"/>
  <c r="AH78" i="1"/>
  <c r="S78" i="1"/>
  <c r="T78" i="1"/>
  <c r="O55" i="1"/>
  <c r="H73" i="1"/>
  <c r="N66" i="1"/>
  <c r="H66" i="1"/>
  <c r="M55" i="1"/>
  <c r="P43" i="1"/>
  <c r="BA78" i="1"/>
  <c r="AQ78" i="1"/>
  <c r="AS78" i="1" s="1"/>
  <c r="M87" i="1"/>
  <c r="AC71" i="1"/>
  <c r="M66" i="1"/>
  <c r="T55" i="1"/>
  <c r="J55" i="1"/>
  <c r="J82" i="1"/>
  <c r="N87" i="1"/>
  <c r="N55" i="1"/>
  <c r="M54" i="1"/>
  <c r="AT44" i="1"/>
  <c r="AQ81" i="1"/>
  <c r="AS81" i="1" s="1"/>
  <c r="AA71" i="1"/>
  <c r="N64" i="1"/>
  <c r="H59" i="1"/>
  <c r="AT55" i="1"/>
  <c r="S54" i="1"/>
  <c r="X52" i="1"/>
  <c r="AC52" i="1" s="1"/>
  <c r="U44" i="1"/>
  <c r="M64" i="1"/>
  <c r="N62" i="1"/>
  <c r="N59" i="1"/>
  <c r="AT86" i="1"/>
  <c r="AC81" i="1"/>
  <c r="O74" i="1"/>
  <c r="AT73" i="1"/>
  <c r="U71" i="1"/>
  <c r="L66" i="1"/>
  <c r="AQ65" i="1"/>
  <c r="AS65" i="1" s="1"/>
  <c r="X62" i="1"/>
  <c r="AD62" i="1" s="1"/>
  <c r="M62" i="1"/>
  <c r="X60" i="1"/>
  <c r="AA60" i="1" s="1"/>
  <c r="X59" i="1"/>
  <c r="AA59" i="1" s="1"/>
  <c r="K55" i="1"/>
  <c r="X54" i="1"/>
  <c r="AC54" i="1" s="1"/>
  <c r="T63" i="1"/>
  <c r="S63" i="1"/>
  <c r="J85" i="1"/>
  <c r="N85" i="1"/>
  <c r="K85" i="1"/>
  <c r="O85" i="1"/>
  <c r="J84" i="1"/>
  <c r="N84" i="1"/>
  <c r="K84" i="1"/>
  <c r="O84" i="1"/>
  <c r="J80" i="1"/>
  <c r="N80" i="1"/>
  <c r="K80" i="1"/>
  <c r="O80" i="1"/>
  <c r="Z74" i="1"/>
  <c r="W74" i="1"/>
  <c r="Y74" i="1" s="1"/>
  <c r="AC74" i="1"/>
  <c r="AQ69" i="1"/>
  <c r="AS69" i="1" s="1"/>
  <c r="AT69" i="1"/>
  <c r="K60" i="1"/>
  <c r="L60" i="1"/>
  <c r="O60" i="1"/>
  <c r="U56" i="1"/>
  <c r="U55" i="1"/>
  <c r="X55" i="1"/>
  <c r="W55" i="1" s="1"/>
  <c r="Y55" i="1" s="1"/>
  <c r="K52" i="1"/>
  <c r="J52" i="1"/>
  <c r="P52" i="1"/>
  <c r="L52" i="1"/>
  <c r="AT42" i="1"/>
  <c r="AQ42" i="1"/>
  <c r="AS42" i="1" s="1"/>
  <c r="H42" i="1"/>
  <c r="K42" i="1"/>
  <c r="O42" i="1"/>
  <c r="M42" i="1"/>
  <c r="K69" i="1"/>
  <c r="O69" i="1"/>
  <c r="H69" i="1"/>
  <c r="L69" i="1"/>
  <c r="P69" i="1"/>
  <c r="AH44" i="1"/>
  <c r="AG44" i="1"/>
  <c r="AI44" i="1"/>
  <c r="T42" i="1"/>
  <c r="S42" i="1"/>
  <c r="H86" i="1"/>
  <c r="J86" i="1"/>
  <c r="O86" i="1"/>
  <c r="K86" i="1"/>
  <c r="P85" i="1"/>
  <c r="H85" i="1"/>
  <c r="P84" i="1"/>
  <c r="H84" i="1"/>
  <c r="L82" i="1"/>
  <c r="N82" i="1"/>
  <c r="P80" i="1"/>
  <c r="H80" i="1"/>
  <c r="AQ74" i="1"/>
  <c r="AS74" i="1" s="1"/>
  <c r="U74" i="1"/>
  <c r="K73" i="1"/>
  <c r="J73" i="1"/>
  <c r="P73" i="1"/>
  <c r="L73" i="1"/>
  <c r="AT71" i="1"/>
  <c r="M69" i="1"/>
  <c r="U66" i="1"/>
  <c r="X66" i="1"/>
  <c r="AB66" i="1" s="1"/>
  <c r="X65" i="1"/>
  <c r="AC65" i="1" s="1"/>
  <c r="U65" i="1"/>
  <c r="K64" i="1"/>
  <c r="O64" i="1"/>
  <c r="H64" i="1"/>
  <c r="L64" i="1"/>
  <c r="P64" i="1"/>
  <c r="AQ62" i="1"/>
  <c r="AS62" i="1" s="1"/>
  <c r="S62" i="1"/>
  <c r="AC60" i="1"/>
  <c r="K59" i="1"/>
  <c r="J59" i="1"/>
  <c r="P59" i="1"/>
  <c r="L59" i="1"/>
  <c r="H52" i="1"/>
  <c r="X42" i="1"/>
  <c r="W42" i="1" s="1"/>
  <c r="Y42" i="1" s="1"/>
  <c r="U42" i="1"/>
  <c r="BA59" i="1"/>
  <c r="E59" i="1"/>
  <c r="D59" i="1" s="1"/>
  <c r="AQ87" i="1"/>
  <c r="AS87" i="1" s="1"/>
  <c r="AT87" i="1"/>
  <c r="M85" i="1"/>
  <c r="M84" i="1"/>
  <c r="AB81" i="1"/>
  <c r="W81" i="1"/>
  <c r="Y81" i="1" s="1"/>
  <c r="AD81" i="1"/>
  <c r="M80" i="1"/>
  <c r="AB74" i="1"/>
  <c r="M71" i="1"/>
  <c r="O71" i="1"/>
  <c r="J69" i="1"/>
  <c r="AI65" i="1"/>
  <c r="AQ64" i="1"/>
  <c r="AS64" i="1" s="1"/>
  <c r="AT64" i="1"/>
  <c r="AT63" i="1"/>
  <c r="AQ63" i="1"/>
  <c r="AS63" i="1" s="1"/>
  <c r="X63" i="1"/>
  <c r="U63" i="1"/>
  <c r="H63" i="1"/>
  <c r="M63" i="1"/>
  <c r="O63" i="1"/>
  <c r="K62" i="1"/>
  <c r="O62" i="1"/>
  <c r="H62" i="1"/>
  <c r="L62" i="1"/>
  <c r="P62" i="1"/>
  <c r="AQ59" i="1"/>
  <c r="AS59" i="1" s="1"/>
  <c r="AT59" i="1"/>
  <c r="N52" i="1"/>
  <c r="J43" i="1"/>
  <c r="N43" i="1"/>
  <c r="H43" i="1"/>
  <c r="K43" i="1"/>
  <c r="O43" i="1"/>
  <c r="L43" i="1"/>
  <c r="J87" i="1"/>
  <c r="X85" i="1"/>
  <c r="AB85" i="1" s="1"/>
  <c r="AT82" i="1"/>
  <c r="AT80" i="1"/>
  <c r="P55" i="1"/>
  <c r="L55" i="1"/>
  <c r="AQ54" i="1"/>
  <c r="AS54" i="1" s="1"/>
  <c r="O54" i="1"/>
  <c r="AI81" i="1"/>
  <c r="S71" i="1"/>
  <c r="AG65" i="1"/>
  <c r="T52" i="1"/>
  <c r="T84" i="1"/>
  <c r="AG81" i="1"/>
  <c r="S86" i="1"/>
  <c r="T80" i="1"/>
  <c r="T59" i="1"/>
  <c r="AG82" i="1"/>
  <c r="S81" i="1"/>
  <c r="AI71" i="1"/>
  <c r="S74" i="1"/>
  <c r="AG71" i="1"/>
  <c r="AI56" i="1"/>
  <c r="T85" i="1"/>
  <c r="S83" i="1"/>
  <c r="T73" i="1"/>
  <c r="T69" i="1"/>
  <c r="J83" i="1"/>
  <c r="N83" i="1"/>
  <c r="K83" i="1"/>
  <c r="P83" i="1"/>
  <c r="L83" i="1"/>
  <c r="H83" i="1"/>
  <c r="M83" i="1"/>
  <c r="AT66" i="1"/>
  <c r="AQ66" i="1"/>
  <c r="AS66" i="1" s="1"/>
  <c r="AI64" i="1"/>
  <c r="AG64" i="1"/>
  <c r="AH64" i="1"/>
  <c r="AI87" i="1"/>
  <c r="AG87" i="1"/>
  <c r="S87" i="1"/>
  <c r="T87" i="1"/>
  <c r="AB86" i="1"/>
  <c r="AC86" i="1"/>
  <c r="Z86" i="1"/>
  <c r="AD86" i="1"/>
  <c r="AG85" i="1"/>
  <c r="AH85" i="1"/>
  <c r="AI85" i="1"/>
  <c r="AG84" i="1"/>
  <c r="AH84" i="1"/>
  <c r="AI84" i="1"/>
  <c r="U73" i="1"/>
  <c r="X73" i="1"/>
  <c r="J65" i="1"/>
  <c r="N65" i="1"/>
  <c r="K65" i="1"/>
  <c r="O65" i="1"/>
  <c r="H65" i="1"/>
  <c r="L65" i="1"/>
  <c r="P65" i="1"/>
  <c r="M65" i="1"/>
  <c r="AG62" i="1"/>
  <c r="AH62" i="1"/>
  <c r="AI62" i="1"/>
  <c r="AH60" i="1"/>
  <c r="AG60" i="1"/>
  <c r="AI60" i="1"/>
  <c r="T56" i="1"/>
  <c r="S56" i="1"/>
  <c r="AI55" i="1"/>
  <c r="AG55" i="1"/>
  <c r="AH55" i="1"/>
  <c r="X87" i="1"/>
  <c r="U87" i="1"/>
  <c r="AH83" i="1"/>
  <c r="AI83" i="1"/>
  <c r="S82" i="1"/>
  <c r="T82" i="1"/>
  <c r="AG80" i="1"/>
  <c r="AI80" i="1"/>
  <c r="AG86" i="1"/>
  <c r="AH86" i="1"/>
  <c r="X82" i="1"/>
  <c r="U82" i="1"/>
  <c r="U69" i="1"/>
  <c r="X69" i="1"/>
  <c r="S64" i="1"/>
  <c r="T64" i="1"/>
  <c r="AA86" i="1"/>
  <c r="AT85" i="1"/>
  <c r="AQ85" i="1"/>
  <c r="AS85" i="1" s="1"/>
  <c r="Z85" i="1"/>
  <c r="U84" i="1"/>
  <c r="X84" i="1"/>
  <c r="AT83" i="1"/>
  <c r="AQ83" i="1"/>
  <c r="AS83" i="1" s="1"/>
  <c r="AG83" i="1"/>
  <c r="O83" i="1"/>
  <c r="H81" i="1"/>
  <c r="L81" i="1"/>
  <c r="P81" i="1"/>
  <c r="J81" i="1"/>
  <c r="O81" i="1"/>
  <c r="K81" i="1"/>
  <c r="M81" i="1"/>
  <c r="AH80" i="1"/>
  <c r="AH74" i="1"/>
  <c r="AG74" i="1"/>
  <c r="AI74" i="1"/>
  <c r="S66" i="1"/>
  <c r="T66" i="1"/>
  <c r="AG59" i="1"/>
  <c r="AI59" i="1"/>
  <c r="AH59" i="1"/>
  <c r="Z56" i="1"/>
  <c r="AD56" i="1"/>
  <c r="AB56" i="1"/>
  <c r="W56" i="1"/>
  <c r="Y56" i="1" s="1"/>
  <c r="AA56" i="1"/>
  <c r="J56" i="1"/>
  <c r="N56" i="1"/>
  <c r="H56" i="1"/>
  <c r="L56" i="1"/>
  <c r="P56" i="1"/>
  <c r="K56" i="1"/>
  <c r="M56" i="1"/>
  <c r="O56" i="1"/>
  <c r="P87" i="1"/>
  <c r="L87" i="1"/>
  <c r="H87" i="1"/>
  <c r="U86" i="1"/>
  <c r="AQ84" i="1"/>
  <c r="AS84" i="1" s="1"/>
  <c r="K82" i="1"/>
  <c r="O82" i="1"/>
  <c r="S65" i="1"/>
  <c r="T65" i="1"/>
  <c r="S60" i="1"/>
  <c r="T60" i="1"/>
  <c r="O87" i="1"/>
  <c r="P86" i="1"/>
  <c r="L86" i="1"/>
  <c r="AH82" i="1"/>
  <c r="M82" i="1"/>
  <c r="H82" i="1"/>
  <c r="Z81" i="1"/>
  <c r="U81" i="1"/>
  <c r="X80" i="1"/>
  <c r="H74" i="1"/>
  <c r="L74" i="1"/>
  <c r="P74" i="1"/>
  <c r="J74" i="1"/>
  <c r="N74" i="1"/>
  <c r="AG73" i="1"/>
  <c r="AI73" i="1"/>
  <c r="Z71" i="1"/>
  <c r="AD71" i="1"/>
  <c r="AB71" i="1"/>
  <c r="J71" i="1"/>
  <c r="N71" i="1"/>
  <c r="H71" i="1"/>
  <c r="L71" i="1"/>
  <c r="P71" i="1"/>
  <c r="AI69" i="1"/>
  <c r="AG69" i="1"/>
  <c r="AG66" i="1"/>
  <c r="AH66" i="1"/>
  <c r="AI66" i="1"/>
  <c r="X64" i="1"/>
  <c r="U64" i="1"/>
  <c r="AG63" i="1"/>
  <c r="AH63" i="1"/>
  <c r="AD74" i="1"/>
  <c r="O73" i="1"/>
  <c r="O66" i="1"/>
  <c r="N63" i="1"/>
  <c r="J63" i="1"/>
  <c r="P60" i="1"/>
  <c r="AG56" i="1"/>
  <c r="S44" i="1"/>
  <c r="T44" i="1"/>
  <c r="J60" i="1"/>
  <c r="N60" i="1"/>
  <c r="AG52" i="1"/>
  <c r="AH52" i="1"/>
  <c r="AI52" i="1"/>
  <c r="Z44" i="1"/>
  <c r="AD44" i="1"/>
  <c r="W44" i="1"/>
  <c r="Y44" i="1" s="1"/>
  <c r="AA44" i="1"/>
  <c r="AB44" i="1"/>
  <c r="X43" i="1"/>
  <c r="U43" i="1"/>
  <c r="AG42" i="1"/>
  <c r="AH42" i="1"/>
  <c r="P63" i="1"/>
  <c r="L63" i="1"/>
  <c r="AQ60" i="1"/>
  <c r="AS60" i="1" s="1"/>
  <c r="M60" i="1"/>
  <c r="H60" i="1"/>
  <c r="AG54" i="1"/>
  <c r="AH54" i="1"/>
  <c r="AT52" i="1"/>
  <c r="AQ52" i="1"/>
  <c r="AS52" i="1" s="1"/>
  <c r="J44" i="1"/>
  <c r="N44" i="1"/>
  <c r="K44" i="1"/>
  <c r="O44" i="1"/>
  <c r="H44" i="1"/>
  <c r="L44" i="1"/>
  <c r="P44" i="1"/>
  <c r="AI43" i="1"/>
  <c r="AG43" i="1"/>
  <c r="S43" i="1"/>
  <c r="T43" i="1"/>
  <c r="O59" i="1"/>
  <c r="N54" i="1"/>
  <c r="J54" i="1"/>
  <c r="O52" i="1"/>
  <c r="N42" i="1"/>
  <c r="J42" i="1"/>
  <c r="P54" i="1"/>
  <c r="L54" i="1"/>
  <c r="P42" i="1"/>
  <c r="L42" i="1"/>
  <c r="AD59" i="1" l="1"/>
  <c r="AC55" i="1"/>
  <c r="Z65" i="1"/>
  <c r="AC59" i="1"/>
  <c r="AB83" i="1"/>
  <c r="Z78" i="1"/>
  <c r="AB78" i="1"/>
  <c r="W78" i="1"/>
  <c r="Y78" i="1" s="1"/>
  <c r="AD42" i="1"/>
  <c r="AD78" i="1"/>
  <c r="AA65" i="1"/>
  <c r="AA78" i="1"/>
  <c r="AD83" i="1"/>
  <c r="AA55" i="1"/>
  <c r="Z83" i="1"/>
  <c r="AC83" i="1"/>
  <c r="Z60" i="1"/>
  <c r="AD55" i="1"/>
  <c r="AA83" i="1"/>
  <c r="W66" i="1"/>
  <c r="Y66" i="1" s="1"/>
  <c r="AD66" i="1"/>
  <c r="AB54" i="1"/>
  <c r="Z42" i="1"/>
  <c r="Z66" i="1"/>
  <c r="W52" i="1"/>
  <c r="Y52" i="1" s="1"/>
  <c r="AB55" i="1"/>
  <c r="AD60" i="1"/>
  <c r="AB65" i="1"/>
  <c r="W59" i="1"/>
  <c r="Y59" i="1" s="1"/>
  <c r="AB62" i="1"/>
  <c r="Z55" i="1"/>
  <c r="AA66" i="1"/>
  <c r="AC66" i="1"/>
  <c r="AD85" i="1"/>
  <c r="AB60" i="1"/>
  <c r="W60" i="1"/>
  <c r="Y60" i="1" s="1"/>
  <c r="AB59" i="1"/>
  <c r="AD52" i="1"/>
  <c r="W62" i="1"/>
  <c r="Y62" i="1" s="1"/>
  <c r="Z59" i="1"/>
  <c r="AC62" i="1"/>
  <c r="AA85" i="1"/>
  <c r="AC85" i="1"/>
  <c r="W85" i="1"/>
  <c r="Y85" i="1" s="1"/>
  <c r="AD54" i="1"/>
  <c r="AC42" i="1"/>
  <c r="AB52" i="1"/>
  <c r="Z52" i="1"/>
  <c r="W65" i="1"/>
  <c r="Y65" i="1" s="1"/>
  <c r="AA62" i="1"/>
  <c r="Z54" i="1"/>
  <c r="AA54" i="1"/>
  <c r="AA42" i="1"/>
  <c r="AB42" i="1"/>
  <c r="AA52" i="1"/>
  <c r="AD65" i="1"/>
  <c r="Z62" i="1"/>
  <c r="W54" i="1"/>
  <c r="Y54" i="1" s="1"/>
  <c r="Z63" i="1"/>
  <c r="AA63" i="1"/>
  <c r="W63" i="1"/>
  <c r="Y63" i="1" s="1"/>
  <c r="AC63" i="1"/>
  <c r="AB63" i="1"/>
  <c r="AD63" i="1"/>
  <c r="W43" i="1"/>
  <c r="Y43" i="1" s="1"/>
  <c r="AA43" i="1"/>
  <c r="AB43" i="1"/>
  <c r="AC43" i="1"/>
  <c r="Z43" i="1"/>
  <c r="AD43" i="1"/>
  <c r="AC84" i="1"/>
  <c r="W84" i="1"/>
  <c r="Y84" i="1" s="1"/>
  <c r="AB84" i="1"/>
  <c r="AD84" i="1"/>
  <c r="Z84" i="1"/>
  <c r="AA84" i="1"/>
  <c r="W87" i="1"/>
  <c r="Y87" i="1" s="1"/>
  <c r="AA87" i="1"/>
  <c r="AB87" i="1"/>
  <c r="AC87" i="1"/>
  <c r="Z87" i="1"/>
  <c r="AD87" i="1"/>
  <c r="W64" i="1"/>
  <c r="Y64" i="1" s="1"/>
  <c r="AA64" i="1"/>
  <c r="AB64" i="1"/>
  <c r="AC64" i="1"/>
  <c r="Z64" i="1"/>
  <c r="AD64" i="1"/>
  <c r="AC80" i="1"/>
  <c r="AD80" i="1"/>
  <c r="Z80" i="1"/>
  <c r="AA80" i="1"/>
  <c r="W80" i="1"/>
  <c r="Y80" i="1" s="1"/>
  <c r="AB80" i="1"/>
  <c r="W82" i="1"/>
  <c r="Y82" i="1" s="1"/>
  <c r="AA82" i="1"/>
  <c r="AC82" i="1"/>
  <c r="AD82" i="1"/>
  <c r="Z82" i="1"/>
  <c r="AB82" i="1"/>
  <c r="W69" i="1"/>
  <c r="Y69" i="1" s="1"/>
  <c r="AA69" i="1"/>
  <c r="AC69" i="1"/>
  <c r="Z69" i="1"/>
  <c r="AB69" i="1"/>
  <c r="AD69" i="1"/>
  <c r="AC73" i="1"/>
  <c r="W73" i="1"/>
  <c r="Y73" i="1" s="1"/>
  <c r="AA73" i="1"/>
  <c r="Z73" i="1"/>
  <c r="AB73" i="1"/>
  <c r="AD73" i="1"/>
  <c r="E29" i="1" l="1"/>
  <c r="D29" i="1" s="1"/>
  <c r="G29" i="1"/>
  <c r="I29" i="1"/>
  <c r="R29" i="1"/>
  <c r="S29" i="1"/>
  <c r="T29" i="1"/>
  <c r="V29" i="1"/>
  <c r="X29" i="1"/>
  <c r="Y29" i="1"/>
  <c r="Z29" i="1"/>
  <c r="AA29" i="1"/>
  <c r="AB29" i="1"/>
  <c r="AC29" i="1"/>
  <c r="AD29" i="1"/>
  <c r="AF29" i="1"/>
  <c r="AG29" i="1"/>
  <c r="AH29" i="1"/>
  <c r="AI29" i="1"/>
  <c r="AK29" i="1"/>
  <c r="AM29" i="1"/>
  <c r="AP29" i="1"/>
  <c r="AR29" i="1"/>
  <c r="AS29" i="1"/>
  <c r="AT29" i="1"/>
  <c r="AV29" i="1"/>
  <c r="AZ29" i="1"/>
  <c r="BB29" i="1"/>
  <c r="M29" i="1" l="1"/>
  <c r="J29" i="1"/>
  <c r="N29" i="1"/>
  <c r="L29" i="1"/>
  <c r="K29" i="1"/>
  <c r="O29" i="1"/>
  <c r="P29" i="1"/>
  <c r="AZ78" i="1" l="1"/>
  <c r="AY78" i="1" s="1"/>
  <c r="AM78" i="1"/>
  <c r="AL78" i="1" s="1"/>
  <c r="AK78" i="1"/>
  <c r="AJ78" i="1" s="1"/>
  <c r="AK52" i="1" l="1"/>
  <c r="AJ52" i="1" s="1"/>
  <c r="AK56" i="1"/>
  <c r="AJ56" i="1" s="1"/>
  <c r="AK59" i="1"/>
  <c r="AJ59" i="1" s="1"/>
  <c r="AK64" i="1"/>
  <c r="AJ64" i="1" s="1"/>
  <c r="AK66" i="1"/>
  <c r="AJ66" i="1" s="1"/>
  <c r="AK55" i="1"/>
  <c r="AJ55" i="1" s="1"/>
  <c r="AK85" i="1"/>
  <c r="AJ85" i="1" s="1"/>
  <c r="AK42" i="1"/>
  <c r="AJ42" i="1" s="1"/>
  <c r="AK60" i="1"/>
  <c r="AJ60" i="1" s="1"/>
  <c r="AK65" i="1"/>
  <c r="AJ65" i="1" s="1"/>
  <c r="AK69" i="1"/>
  <c r="AJ69" i="1" s="1"/>
  <c r="AK73" i="1"/>
  <c r="AJ73" i="1" s="1"/>
  <c r="AK80" i="1"/>
  <c r="AJ80" i="1" s="1"/>
  <c r="AK83" i="1"/>
  <c r="AJ83" i="1" s="1"/>
  <c r="AK86" i="1"/>
  <c r="AJ86" i="1" s="1"/>
  <c r="AK44" i="1"/>
  <c r="AJ44" i="1" s="1"/>
  <c r="AK63" i="1"/>
  <c r="AJ63" i="1" s="1"/>
  <c r="AK74" i="1"/>
  <c r="AJ74" i="1" s="1"/>
  <c r="AK82" i="1"/>
  <c r="AJ82" i="1" s="1"/>
  <c r="AK43" i="1"/>
  <c r="AJ43" i="1" s="1"/>
  <c r="AK54" i="1"/>
  <c r="AJ54" i="1" s="1"/>
  <c r="AK62" i="1"/>
  <c r="AJ62" i="1" s="1"/>
  <c r="AK71" i="1"/>
  <c r="AJ71" i="1" s="1"/>
  <c r="AK81" i="1"/>
  <c r="AJ81" i="1" s="1"/>
  <c r="AK84" i="1"/>
  <c r="AJ84" i="1" s="1"/>
  <c r="AK87" i="1"/>
  <c r="AJ87" i="1" s="1"/>
  <c r="AM44" i="1"/>
  <c r="AL44" i="1" s="1"/>
  <c r="AM55" i="1"/>
  <c r="AL55" i="1" s="1"/>
  <c r="AM63" i="1"/>
  <c r="AL63" i="1" s="1"/>
  <c r="AM74" i="1"/>
  <c r="AL74" i="1" s="1"/>
  <c r="AM82" i="1"/>
  <c r="AL82" i="1" s="1"/>
  <c r="AM85" i="1"/>
  <c r="AL85" i="1" s="1"/>
  <c r="AM54" i="1"/>
  <c r="AL54" i="1" s="1"/>
  <c r="AM71" i="1"/>
  <c r="AL71" i="1" s="1"/>
  <c r="AM52" i="1"/>
  <c r="AL52" i="1" s="1"/>
  <c r="AM56" i="1"/>
  <c r="AL56" i="1" s="1"/>
  <c r="AM59" i="1"/>
  <c r="AL59" i="1" s="1"/>
  <c r="AM64" i="1"/>
  <c r="AL64" i="1" s="1"/>
  <c r="AM66" i="1"/>
  <c r="AL66" i="1" s="1"/>
  <c r="AM43" i="1"/>
  <c r="AL43" i="1" s="1"/>
  <c r="AM84" i="1"/>
  <c r="AL84" i="1" s="1"/>
  <c r="AM42" i="1"/>
  <c r="AL42" i="1" s="1"/>
  <c r="AM60" i="1"/>
  <c r="AL60" i="1" s="1"/>
  <c r="AM65" i="1"/>
  <c r="AL65" i="1" s="1"/>
  <c r="AM69" i="1"/>
  <c r="AL69" i="1" s="1"/>
  <c r="AM73" i="1"/>
  <c r="AL73" i="1" s="1"/>
  <c r="AM80" i="1"/>
  <c r="AL80" i="1" s="1"/>
  <c r="AM83" i="1"/>
  <c r="AL83" i="1" s="1"/>
  <c r="AM86" i="1"/>
  <c r="AL86" i="1" s="1"/>
  <c r="AM62" i="1"/>
  <c r="AL62" i="1" s="1"/>
  <c r="AM81" i="1"/>
  <c r="AL81" i="1" s="1"/>
  <c r="AM87" i="1"/>
  <c r="AL87" i="1" s="1"/>
  <c r="AZ44" i="1"/>
  <c r="AY44" i="1" s="1"/>
  <c r="AZ55" i="1"/>
  <c r="AY55" i="1" s="1"/>
  <c r="AZ63" i="1"/>
  <c r="AY63" i="1" s="1"/>
  <c r="AZ71" i="1"/>
  <c r="AY71" i="1" s="1"/>
  <c r="AZ74" i="1"/>
  <c r="AY74" i="1" s="1"/>
  <c r="AZ82" i="1"/>
  <c r="AY82" i="1" s="1"/>
  <c r="AZ85" i="1"/>
  <c r="AY85" i="1" s="1"/>
  <c r="AZ54" i="1"/>
  <c r="AY54" i="1" s="1"/>
  <c r="AZ87" i="1"/>
  <c r="AY87" i="1" s="1"/>
  <c r="AZ52" i="1"/>
  <c r="AY52" i="1" s="1"/>
  <c r="AZ56" i="1"/>
  <c r="AY56" i="1" s="1"/>
  <c r="AZ59" i="1"/>
  <c r="AY59" i="1" s="1"/>
  <c r="AZ64" i="1"/>
  <c r="AY64" i="1" s="1"/>
  <c r="AZ66" i="1"/>
  <c r="AY66" i="1" s="1"/>
  <c r="AZ43" i="1"/>
  <c r="AY43" i="1" s="1"/>
  <c r="AZ81" i="1"/>
  <c r="AY81" i="1" s="1"/>
  <c r="AZ42" i="1"/>
  <c r="AY42" i="1" s="1"/>
  <c r="AZ60" i="1"/>
  <c r="AY60" i="1" s="1"/>
  <c r="AZ65" i="1"/>
  <c r="AY65" i="1" s="1"/>
  <c r="AZ69" i="1"/>
  <c r="AY69" i="1" s="1"/>
  <c r="AZ73" i="1"/>
  <c r="AY73" i="1" s="1"/>
  <c r="AZ80" i="1"/>
  <c r="AY80" i="1" s="1"/>
  <c r="AZ83" i="1"/>
  <c r="AY83" i="1" s="1"/>
  <c r="AZ86" i="1"/>
  <c r="AY86" i="1" s="1"/>
  <c r="AZ62" i="1"/>
  <c r="AY62" i="1" s="1"/>
  <c r="AZ84" i="1"/>
  <c r="AY84" i="1" s="1"/>
  <c r="X49" i="1" l="1"/>
  <c r="X50" i="1"/>
  <c r="X51" i="1"/>
  <c r="X48" i="1"/>
  <c r="X47" i="1"/>
  <c r="X46" i="1"/>
  <c r="X45" i="1"/>
  <c r="V46" i="1"/>
  <c r="U46" i="1" s="1"/>
  <c r="V47" i="1"/>
  <c r="U47" i="1" s="1"/>
  <c r="V48" i="1"/>
  <c r="U48" i="1" s="1"/>
  <c r="V49" i="1"/>
  <c r="U49" i="1" s="1"/>
  <c r="V50" i="1"/>
  <c r="U50" i="1" s="1"/>
  <c r="V51" i="1"/>
  <c r="U51" i="1" s="1"/>
  <c r="V45" i="1"/>
  <c r="U45" i="1" s="1"/>
  <c r="BB19" i="1" l="1"/>
  <c r="K21" i="1" l="1"/>
  <c r="L21" i="1"/>
  <c r="K22" i="1"/>
  <c r="L22" i="1"/>
  <c r="K31" i="1"/>
  <c r="L31" i="1"/>
  <c r="K32" i="1"/>
  <c r="L32" i="1"/>
  <c r="K33" i="1"/>
  <c r="L33" i="1"/>
  <c r="K34" i="1"/>
  <c r="L34" i="1"/>
  <c r="K35" i="1"/>
  <c r="L35" i="1"/>
  <c r="K36" i="1"/>
  <c r="L36" i="1"/>
  <c r="J21" i="1"/>
  <c r="J22" i="1"/>
  <c r="J31" i="1"/>
  <c r="J32" i="1"/>
  <c r="J33" i="1"/>
  <c r="J34" i="1"/>
  <c r="J35" i="1"/>
  <c r="J36" i="1"/>
  <c r="AK30" i="1" l="1"/>
  <c r="G92" i="1" l="1"/>
  <c r="F92" i="1" s="1"/>
  <c r="G91" i="1"/>
  <c r="F91" i="1" s="1"/>
  <c r="G76" i="1"/>
  <c r="F76" i="1" s="1"/>
  <c r="G77" i="1"/>
  <c r="F77" i="1" s="1"/>
  <c r="G79" i="1"/>
  <c r="F79" i="1" s="1"/>
  <c r="G75" i="1"/>
  <c r="F75" i="1" s="1"/>
  <c r="G41" i="1"/>
  <c r="F41" i="1" s="1"/>
  <c r="G45" i="1"/>
  <c r="F45" i="1" s="1"/>
  <c r="G46" i="1"/>
  <c r="F46" i="1" s="1"/>
  <c r="G47" i="1"/>
  <c r="F47" i="1" s="1"/>
  <c r="G48" i="1"/>
  <c r="F48" i="1" s="1"/>
  <c r="G49" i="1"/>
  <c r="F49" i="1" s="1"/>
  <c r="G50" i="1"/>
  <c r="F50" i="1" s="1"/>
  <c r="G51" i="1"/>
  <c r="F51" i="1" s="1"/>
  <c r="G53" i="1"/>
  <c r="F53" i="1" s="1"/>
  <c r="G57" i="1"/>
  <c r="F57" i="1" s="1"/>
  <c r="G58" i="1"/>
  <c r="F58" i="1" s="1"/>
  <c r="G61" i="1"/>
  <c r="F61" i="1" s="1"/>
  <c r="G67" i="1"/>
  <c r="F67" i="1" s="1"/>
  <c r="G68" i="1"/>
  <c r="F68" i="1" s="1"/>
  <c r="G70" i="1"/>
  <c r="F70" i="1" s="1"/>
  <c r="G72" i="1"/>
  <c r="F72" i="1" s="1"/>
  <c r="G40" i="1"/>
  <c r="F40" i="1" s="1"/>
  <c r="G12" i="1"/>
  <c r="G13" i="1"/>
  <c r="G14" i="1"/>
  <c r="G15" i="1"/>
  <c r="G16" i="1"/>
  <c r="G18" i="1"/>
  <c r="G19" i="1"/>
  <c r="G20" i="1"/>
  <c r="G23" i="1"/>
  <c r="G24" i="1"/>
  <c r="G25" i="1"/>
  <c r="G26" i="1"/>
  <c r="G27" i="1"/>
  <c r="G28" i="1"/>
  <c r="G30" i="1"/>
  <c r="G11" i="1"/>
  <c r="E92" i="1" l="1"/>
  <c r="D92" i="1" s="1"/>
  <c r="I92" i="1"/>
  <c r="R92" i="1"/>
  <c r="Q92" i="1" s="1"/>
  <c r="T92" i="1" s="1"/>
  <c r="V92" i="1"/>
  <c r="X92" i="1" s="1"/>
  <c r="AF92" i="1"/>
  <c r="AE92" i="1" s="1"/>
  <c r="AH92" i="1" s="1"/>
  <c r="AK92" i="1"/>
  <c r="AJ92" i="1" s="1"/>
  <c r="AM92" i="1"/>
  <c r="AL92" i="1" s="1"/>
  <c r="AO92" i="1"/>
  <c r="AN92" i="1" s="1"/>
  <c r="AP92" i="1" s="1"/>
  <c r="AR92" i="1"/>
  <c r="AT92" i="1" s="1"/>
  <c r="AV92" i="1"/>
  <c r="AU92" i="1" s="1"/>
  <c r="AZ92" i="1"/>
  <c r="AY92" i="1" s="1"/>
  <c r="BB92" i="1"/>
  <c r="BA92" i="1" s="1"/>
  <c r="BB91" i="1"/>
  <c r="BA91" i="1" s="1"/>
  <c r="AZ91" i="1"/>
  <c r="AY91" i="1" s="1"/>
  <c r="AV91" i="1"/>
  <c r="AU91" i="1" s="1"/>
  <c r="AR91" i="1"/>
  <c r="AQ91" i="1" s="1"/>
  <c r="AS91" i="1" s="1"/>
  <c r="AO91" i="1"/>
  <c r="AN91" i="1" s="1"/>
  <c r="AP91" i="1" s="1"/>
  <c r="AM91" i="1"/>
  <c r="AL91" i="1" s="1"/>
  <c r="AK91" i="1"/>
  <c r="AJ91" i="1" s="1"/>
  <c r="AF91" i="1"/>
  <c r="AE91" i="1" s="1"/>
  <c r="AI91" i="1" s="1"/>
  <c r="V91" i="1"/>
  <c r="X91" i="1" s="1"/>
  <c r="R91" i="1"/>
  <c r="Q91" i="1" s="1"/>
  <c r="T91" i="1" s="1"/>
  <c r="I91" i="1"/>
  <c r="E91" i="1"/>
  <c r="D91" i="1" s="1"/>
  <c r="I76" i="1"/>
  <c r="R76" i="1"/>
  <c r="Q76" i="1" s="1"/>
  <c r="V76" i="1"/>
  <c r="X76" i="1" s="1"/>
  <c r="AF76" i="1"/>
  <c r="AE76" i="1" s="1"/>
  <c r="AG76" i="1" s="1"/>
  <c r="AK76" i="1"/>
  <c r="AJ76" i="1" s="1"/>
  <c r="AM76" i="1"/>
  <c r="AL76" i="1" s="1"/>
  <c r="AO76" i="1"/>
  <c r="AN76" i="1" s="1"/>
  <c r="AP76" i="1" s="1"/>
  <c r="AR76" i="1"/>
  <c r="AT76" i="1" s="1"/>
  <c r="AV76" i="1"/>
  <c r="AU76" i="1" s="1"/>
  <c r="AZ76" i="1"/>
  <c r="AY76" i="1" s="1"/>
  <c r="BB76" i="1"/>
  <c r="BA76" i="1" s="1"/>
  <c r="I77" i="1"/>
  <c r="R77" i="1"/>
  <c r="Q77" i="1" s="1"/>
  <c r="S77" i="1" s="1"/>
  <c r="V77" i="1"/>
  <c r="X77" i="1" s="1"/>
  <c r="AF77" i="1"/>
  <c r="AE77" i="1" s="1"/>
  <c r="AH77" i="1" s="1"/>
  <c r="AK77" i="1"/>
  <c r="AJ77" i="1" s="1"/>
  <c r="AM77" i="1"/>
  <c r="AL77" i="1" s="1"/>
  <c r="AO77" i="1"/>
  <c r="AN77" i="1" s="1"/>
  <c r="AP77" i="1" s="1"/>
  <c r="AR77" i="1"/>
  <c r="AT77" i="1" s="1"/>
  <c r="AV77" i="1"/>
  <c r="AU77" i="1" s="1"/>
  <c r="AZ77" i="1"/>
  <c r="AY77" i="1" s="1"/>
  <c r="BB77" i="1"/>
  <c r="BA77" i="1" s="1"/>
  <c r="I79" i="1"/>
  <c r="R79" i="1"/>
  <c r="Q79" i="1" s="1"/>
  <c r="S79" i="1" s="1"/>
  <c r="V79" i="1"/>
  <c r="X79" i="1" s="1"/>
  <c r="AF79" i="1"/>
  <c r="AE79" i="1" s="1"/>
  <c r="AK79" i="1"/>
  <c r="AJ79" i="1" s="1"/>
  <c r="AM79" i="1"/>
  <c r="AL79" i="1" s="1"/>
  <c r="AO79" i="1"/>
  <c r="AN79" i="1" s="1"/>
  <c r="AP79" i="1" s="1"/>
  <c r="AR79" i="1"/>
  <c r="AT79" i="1" s="1"/>
  <c r="AV79" i="1"/>
  <c r="AU79" i="1" s="1"/>
  <c r="AZ79" i="1"/>
  <c r="AY79" i="1" s="1"/>
  <c r="BB79" i="1"/>
  <c r="BA79" i="1" s="1"/>
  <c r="BB75" i="1"/>
  <c r="AZ75" i="1"/>
  <c r="AV75" i="1"/>
  <c r="AR75" i="1"/>
  <c r="AQ75" i="1" s="1"/>
  <c r="AO75" i="1"/>
  <c r="AM75" i="1"/>
  <c r="AK75" i="1"/>
  <c r="AF75" i="1"/>
  <c r="V75" i="1"/>
  <c r="R75" i="1"/>
  <c r="I75" i="1"/>
  <c r="I41" i="1"/>
  <c r="R41" i="1"/>
  <c r="Q41" i="1" s="1"/>
  <c r="V41" i="1"/>
  <c r="U41" i="1" s="1"/>
  <c r="AF41" i="1"/>
  <c r="AE41" i="1" s="1"/>
  <c r="AG41" i="1" s="1"/>
  <c r="AK41" i="1"/>
  <c r="AJ41" i="1" s="1"/>
  <c r="AM41" i="1"/>
  <c r="AL41" i="1" s="1"/>
  <c r="AO41" i="1"/>
  <c r="AN41" i="1" s="1"/>
  <c r="AP41" i="1" s="1"/>
  <c r="AR41" i="1"/>
  <c r="AT41" i="1" s="1"/>
  <c r="AV41" i="1"/>
  <c r="AU41" i="1" s="1"/>
  <c r="AZ41" i="1"/>
  <c r="AY41" i="1" s="1"/>
  <c r="BB41" i="1"/>
  <c r="BA41" i="1" s="1"/>
  <c r="I45" i="1"/>
  <c r="R45" i="1"/>
  <c r="Q45" i="1" s="1"/>
  <c r="S45" i="1" s="1"/>
  <c r="AF45" i="1"/>
  <c r="AE45" i="1" s="1"/>
  <c r="AK45" i="1"/>
  <c r="AJ45" i="1" s="1"/>
  <c r="AM45" i="1"/>
  <c r="AL45" i="1" s="1"/>
  <c r="AO45" i="1"/>
  <c r="AN45" i="1" s="1"/>
  <c r="AP45" i="1" s="1"/>
  <c r="AR45" i="1"/>
  <c r="AQ45" i="1" s="1"/>
  <c r="AS45" i="1" s="1"/>
  <c r="AV45" i="1"/>
  <c r="AU45" i="1" s="1"/>
  <c r="AZ45" i="1"/>
  <c r="AY45" i="1" s="1"/>
  <c r="BB45" i="1"/>
  <c r="BA45" i="1" s="1"/>
  <c r="I46" i="1"/>
  <c r="R46" i="1"/>
  <c r="Q46" i="1" s="1"/>
  <c r="W46" i="1"/>
  <c r="Y46" i="1" s="1"/>
  <c r="AC46" i="1"/>
  <c r="AB46" i="1"/>
  <c r="AF46" i="1"/>
  <c r="AE46" i="1" s="1"/>
  <c r="AG46" i="1" s="1"/>
  <c r="AK46" i="1"/>
  <c r="AJ46" i="1" s="1"/>
  <c r="AM46" i="1"/>
  <c r="AL46" i="1" s="1"/>
  <c r="AO46" i="1"/>
  <c r="AN46" i="1" s="1"/>
  <c r="AP46" i="1" s="1"/>
  <c r="AR46" i="1"/>
  <c r="AT46" i="1" s="1"/>
  <c r="AV46" i="1"/>
  <c r="AU46" i="1" s="1"/>
  <c r="AZ46" i="1"/>
  <c r="AY46" i="1" s="1"/>
  <c r="BB46" i="1"/>
  <c r="BA46" i="1" s="1"/>
  <c r="I47" i="1"/>
  <c r="R47" i="1"/>
  <c r="Q47" i="1" s="1"/>
  <c r="S47" i="1" s="1"/>
  <c r="AF47" i="1"/>
  <c r="AE47" i="1" s="1"/>
  <c r="AK47" i="1"/>
  <c r="AJ47" i="1" s="1"/>
  <c r="AM47" i="1"/>
  <c r="AL47" i="1" s="1"/>
  <c r="AO47" i="1"/>
  <c r="AN47" i="1" s="1"/>
  <c r="AP47" i="1" s="1"/>
  <c r="AR47" i="1"/>
  <c r="AQ47" i="1" s="1"/>
  <c r="AS47" i="1" s="1"/>
  <c r="AV47" i="1"/>
  <c r="AU47" i="1" s="1"/>
  <c r="AZ47" i="1"/>
  <c r="AY47" i="1" s="1"/>
  <c r="BB47" i="1"/>
  <c r="BA47" i="1" s="1"/>
  <c r="I48" i="1"/>
  <c r="R48" i="1"/>
  <c r="Q48" i="1" s="1"/>
  <c r="T48" i="1" s="1"/>
  <c r="AC48" i="1"/>
  <c r="AA48" i="1"/>
  <c r="AF48" i="1"/>
  <c r="AE48" i="1" s="1"/>
  <c r="AI48" i="1" s="1"/>
  <c r="AK48" i="1"/>
  <c r="AJ48" i="1" s="1"/>
  <c r="AM48" i="1"/>
  <c r="AL48" i="1" s="1"/>
  <c r="AO48" i="1"/>
  <c r="AN48" i="1" s="1"/>
  <c r="AP48" i="1" s="1"/>
  <c r="AR48" i="1"/>
  <c r="AT48" i="1" s="1"/>
  <c r="AV48" i="1"/>
  <c r="AU48" i="1" s="1"/>
  <c r="AZ48" i="1"/>
  <c r="AY48" i="1" s="1"/>
  <c r="BB48" i="1"/>
  <c r="BA48" i="1" s="1"/>
  <c r="I49" i="1"/>
  <c r="R49" i="1"/>
  <c r="Q49" i="1" s="1"/>
  <c r="Z49" i="1"/>
  <c r="AD49" i="1"/>
  <c r="AF49" i="1"/>
  <c r="AE49" i="1" s="1"/>
  <c r="AI49" i="1" s="1"/>
  <c r="AK49" i="1"/>
  <c r="AJ49" i="1" s="1"/>
  <c r="AM49" i="1"/>
  <c r="AL49" i="1" s="1"/>
  <c r="AO49" i="1"/>
  <c r="AN49" i="1" s="1"/>
  <c r="AP49" i="1" s="1"/>
  <c r="AR49" i="1"/>
  <c r="AQ49" i="1" s="1"/>
  <c r="AS49" i="1" s="1"/>
  <c r="AV49" i="1"/>
  <c r="AU49" i="1" s="1"/>
  <c r="AZ49" i="1"/>
  <c r="AY49" i="1" s="1"/>
  <c r="BB49" i="1"/>
  <c r="BA49" i="1" s="1"/>
  <c r="I50" i="1"/>
  <c r="R50" i="1"/>
  <c r="Q50" i="1" s="1"/>
  <c r="S50" i="1" s="1"/>
  <c r="W50" i="1"/>
  <c r="Y50" i="1" s="1"/>
  <c r="AA50" i="1"/>
  <c r="AB50" i="1"/>
  <c r="AF50" i="1"/>
  <c r="AE50" i="1" s="1"/>
  <c r="AI50" i="1" s="1"/>
  <c r="AK50" i="1"/>
  <c r="AJ50" i="1" s="1"/>
  <c r="AM50" i="1"/>
  <c r="AL50" i="1" s="1"/>
  <c r="AO50" i="1"/>
  <c r="AN50" i="1" s="1"/>
  <c r="AP50" i="1" s="1"/>
  <c r="AR50" i="1"/>
  <c r="AT50" i="1" s="1"/>
  <c r="AV50" i="1"/>
  <c r="AU50" i="1" s="1"/>
  <c r="AZ50" i="1"/>
  <c r="AY50" i="1" s="1"/>
  <c r="BB50" i="1"/>
  <c r="BA50" i="1" s="1"/>
  <c r="I51" i="1"/>
  <c r="R51" i="1"/>
  <c r="Q51" i="1" s="1"/>
  <c r="Z51" i="1"/>
  <c r="AF51" i="1"/>
  <c r="AE51" i="1" s="1"/>
  <c r="AI51" i="1" s="1"/>
  <c r="AK51" i="1"/>
  <c r="AJ51" i="1" s="1"/>
  <c r="AM51" i="1"/>
  <c r="AL51" i="1" s="1"/>
  <c r="AO51" i="1"/>
  <c r="AN51" i="1" s="1"/>
  <c r="AP51" i="1" s="1"/>
  <c r="AR51" i="1"/>
  <c r="AQ51" i="1" s="1"/>
  <c r="AS51" i="1" s="1"/>
  <c r="AV51" i="1"/>
  <c r="AU51" i="1" s="1"/>
  <c r="AZ51" i="1"/>
  <c r="AY51" i="1" s="1"/>
  <c r="BB51" i="1"/>
  <c r="BA51" i="1" s="1"/>
  <c r="I53" i="1"/>
  <c r="R53" i="1"/>
  <c r="Q53" i="1" s="1"/>
  <c r="S53" i="1" s="1"/>
  <c r="V53" i="1"/>
  <c r="U53" i="1" s="1"/>
  <c r="AF53" i="1"/>
  <c r="AE53" i="1" s="1"/>
  <c r="AI53" i="1" s="1"/>
  <c r="AK53" i="1"/>
  <c r="AJ53" i="1" s="1"/>
  <c r="AM53" i="1"/>
  <c r="AL53" i="1" s="1"/>
  <c r="AO53" i="1"/>
  <c r="AN53" i="1" s="1"/>
  <c r="AP53" i="1" s="1"/>
  <c r="AR53" i="1"/>
  <c r="AT53" i="1" s="1"/>
  <c r="AV53" i="1"/>
  <c r="AU53" i="1" s="1"/>
  <c r="AZ53" i="1"/>
  <c r="AY53" i="1" s="1"/>
  <c r="BB53" i="1"/>
  <c r="BA53" i="1" s="1"/>
  <c r="I57" i="1"/>
  <c r="R57" i="1"/>
  <c r="Q57" i="1" s="1"/>
  <c r="S57" i="1" s="1"/>
  <c r="V57" i="1"/>
  <c r="X57" i="1" s="1"/>
  <c r="Z57" i="1" s="1"/>
  <c r="AF57" i="1"/>
  <c r="AE57" i="1" s="1"/>
  <c r="AK57" i="1"/>
  <c r="AJ57" i="1" s="1"/>
  <c r="AM57" i="1"/>
  <c r="AL57" i="1" s="1"/>
  <c r="AO57" i="1"/>
  <c r="AN57" i="1" s="1"/>
  <c r="AP57" i="1" s="1"/>
  <c r="AR57" i="1"/>
  <c r="AQ57" i="1" s="1"/>
  <c r="AS57" i="1" s="1"/>
  <c r="AV57" i="1"/>
  <c r="AU57" i="1" s="1"/>
  <c r="AZ57" i="1"/>
  <c r="AY57" i="1" s="1"/>
  <c r="BB57" i="1"/>
  <c r="BA57" i="1" s="1"/>
  <c r="I58" i="1"/>
  <c r="R58" i="1"/>
  <c r="Q58" i="1" s="1"/>
  <c r="S58" i="1" s="1"/>
  <c r="V58" i="1"/>
  <c r="U58" i="1" s="1"/>
  <c r="AF58" i="1"/>
  <c r="AE58" i="1" s="1"/>
  <c r="AI58" i="1" s="1"/>
  <c r="AK58" i="1"/>
  <c r="AJ58" i="1" s="1"/>
  <c r="AM58" i="1"/>
  <c r="AL58" i="1" s="1"/>
  <c r="AO58" i="1"/>
  <c r="AN58" i="1" s="1"/>
  <c r="AP58" i="1" s="1"/>
  <c r="AR58" i="1"/>
  <c r="AT58" i="1" s="1"/>
  <c r="AV58" i="1"/>
  <c r="AU58" i="1" s="1"/>
  <c r="AZ58" i="1"/>
  <c r="AY58" i="1" s="1"/>
  <c r="BB58" i="1"/>
  <c r="BA58" i="1" s="1"/>
  <c r="I61" i="1"/>
  <c r="J61" i="1" s="1"/>
  <c r="R61" i="1"/>
  <c r="Q61" i="1" s="1"/>
  <c r="V61" i="1"/>
  <c r="X61" i="1" s="1"/>
  <c r="AC61" i="1" s="1"/>
  <c r="AF61" i="1"/>
  <c r="AE61" i="1" s="1"/>
  <c r="AK61" i="1"/>
  <c r="AJ61" i="1" s="1"/>
  <c r="AM61" i="1"/>
  <c r="AL61" i="1" s="1"/>
  <c r="AO61" i="1"/>
  <c r="AN61" i="1" s="1"/>
  <c r="AP61" i="1" s="1"/>
  <c r="AR61" i="1"/>
  <c r="AQ61" i="1" s="1"/>
  <c r="AS61" i="1" s="1"/>
  <c r="AV61" i="1"/>
  <c r="AU61" i="1" s="1"/>
  <c r="AZ61" i="1"/>
  <c r="AY61" i="1" s="1"/>
  <c r="BB61" i="1"/>
  <c r="BA61" i="1" s="1"/>
  <c r="I67" i="1"/>
  <c r="R67" i="1"/>
  <c r="Q67" i="1" s="1"/>
  <c r="S67" i="1" s="1"/>
  <c r="V67" i="1"/>
  <c r="U67" i="1" s="1"/>
  <c r="AF67" i="1"/>
  <c r="AE67" i="1" s="1"/>
  <c r="AI67" i="1" s="1"/>
  <c r="AK67" i="1"/>
  <c r="AJ67" i="1" s="1"/>
  <c r="AM67" i="1"/>
  <c r="AL67" i="1" s="1"/>
  <c r="AO67" i="1"/>
  <c r="AN67" i="1" s="1"/>
  <c r="AP67" i="1" s="1"/>
  <c r="AR67" i="1"/>
  <c r="AT67" i="1" s="1"/>
  <c r="AV67" i="1"/>
  <c r="AU67" i="1" s="1"/>
  <c r="AZ67" i="1"/>
  <c r="AY67" i="1" s="1"/>
  <c r="BB67" i="1"/>
  <c r="BA67" i="1" s="1"/>
  <c r="I68" i="1"/>
  <c r="R68" i="1"/>
  <c r="Q68" i="1" s="1"/>
  <c r="V68" i="1"/>
  <c r="X68" i="1" s="1"/>
  <c r="Z68" i="1" s="1"/>
  <c r="AF68" i="1"/>
  <c r="AE68" i="1" s="1"/>
  <c r="AI68" i="1" s="1"/>
  <c r="AK68" i="1"/>
  <c r="AJ68" i="1" s="1"/>
  <c r="AM68" i="1"/>
  <c r="AL68" i="1" s="1"/>
  <c r="AO68" i="1"/>
  <c r="AN68" i="1" s="1"/>
  <c r="AP68" i="1" s="1"/>
  <c r="AR68" i="1"/>
  <c r="AQ68" i="1" s="1"/>
  <c r="AS68" i="1" s="1"/>
  <c r="AV68" i="1"/>
  <c r="AU68" i="1" s="1"/>
  <c r="AZ68" i="1"/>
  <c r="AY68" i="1" s="1"/>
  <c r="BB68" i="1"/>
  <c r="BA68" i="1" s="1"/>
  <c r="I70" i="1"/>
  <c r="R70" i="1"/>
  <c r="Q70" i="1" s="1"/>
  <c r="S70" i="1" s="1"/>
  <c r="V70" i="1"/>
  <c r="U70" i="1" s="1"/>
  <c r="AF70" i="1"/>
  <c r="AE70" i="1" s="1"/>
  <c r="AG70" i="1" s="1"/>
  <c r="AK70" i="1"/>
  <c r="AJ70" i="1" s="1"/>
  <c r="AM70" i="1"/>
  <c r="AL70" i="1" s="1"/>
  <c r="AO70" i="1"/>
  <c r="AN70" i="1" s="1"/>
  <c r="AP70" i="1" s="1"/>
  <c r="AR70" i="1"/>
  <c r="AQ70" i="1" s="1"/>
  <c r="AS70" i="1" s="1"/>
  <c r="AV70" i="1"/>
  <c r="AU70" i="1" s="1"/>
  <c r="AZ70" i="1"/>
  <c r="AY70" i="1" s="1"/>
  <c r="BB70" i="1"/>
  <c r="BA70" i="1" s="1"/>
  <c r="I72" i="1"/>
  <c r="R72" i="1"/>
  <c r="Q72" i="1" s="1"/>
  <c r="V72" i="1"/>
  <c r="X72" i="1" s="1"/>
  <c r="AB72" i="1" s="1"/>
  <c r="AF72" i="1"/>
  <c r="AE72" i="1" s="1"/>
  <c r="AI72" i="1" s="1"/>
  <c r="AK72" i="1"/>
  <c r="AJ72" i="1" s="1"/>
  <c r="AM72" i="1"/>
  <c r="AL72" i="1" s="1"/>
  <c r="AO72" i="1"/>
  <c r="AN72" i="1" s="1"/>
  <c r="AP72" i="1" s="1"/>
  <c r="AR72" i="1"/>
  <c r="AQ72" i="1" s="1"/>
  <c r="AS72" i="1" s="1"/>
  <c r="AV72" i="1"/>
  <c r="AU72" i="1" s="1"/>
  <c r="AZ72" i="1"/>
  <c r="AY72" i="1" s="1"/>
  <c r="BB72" i="1"/>
  <c r="BA72" i="1" s="1"/>
  <c r="BB40" i="1"/>
  <c r="AZ40" i="1"/>
  <c r="AV40" i="1"/>
  <c r="AR40" i="1"/>
  <c r="AO40" i="1"/>
  <c r="AM40" i="1"/>
  <c r="AK40" i="1"/>
  <c r="AF40" i="1"/>
  <c r="V40" i="1"/>
  <c r="R40" i="1"/>
  <c r="I40" i="1"/>
  <c r="N72" i="1" l="1"/>
  <c r="K72" i="1"/>
  <c r="L72" i="1"/>
  <c r="K58" i="1"/>
  <c r="L58" i="1"/>
  <c r="K57" i="1"/>
  <c r="L57" i="1"/>
  <c r="K50" i="1"/>
  <c r="L50" i="1"/>
  <c r="K49" i="1"/>
  <c r="L49" i="1"/>
  <c r="K48" i="1"/>
  <c r="L48" i="1"/>
  <c r="K41" i="1"/>
  <c r="L41" i="1"/>
  <c r="M77" i="1"/>
  <c r="K77" i="1"/>
  <c r="L77" i="1"/>
  <c r="K67" i="1"/>
  <c r="L67" i="1"/>
  <c r="N61" i="1"/>
  <c r="K61" i="1"/>
  <c r="L61" i="1"/>
  <c r="O45" i="1"/>
  <c r="K45" i="1"/>
  <c r="L45" i="1"/>
  <c r="H75" i="1"/>
  <c r="K75" i="1"/>
  <c r="L75" i="1"/>
  <c r="K91" i="1"/>
  <c r="L91" i="1"/>
  <c r="H68" i="1"/>
  <c r="K68" i="1"/>
  <c r="L68" i="1"/>
  <c r="P47" i="1"/>
  <c r="K47" i="1"/>
  <c r="L47" i="1"/>
  <c r="K79" i="1"/>
  <c r="L79" i="1"/>
  <c r="K92" i="1"/>
  <c r="L92" i="1"/>
  <c r="H40" i="1"/>
  <c r="K40" i="1"/>
  <c r="L40" i="1"/>
  <c r="K70" i="1"/>
  <c r="L70" i="1"/>
  <c r="K53" i="1"/>
  <c r="L53" i="1"/>
  <c r="K51" i="1"/>
  <c r="L51" i="1"/>
  <c r="K46" i="1"/>
  <c r="L46" i="1"/>
  <c r="K76" i="1"/>
  <c r="L76" i="1"/>
  <c r="P61" i="1"/>
  <c r="J47" i="1"/>
  <c r="O61" i="1"/>
  <c r="O72" i="1"/>
  <c r="O68" i="1"/>
  <c r="AT49" i="1"/>
  <c r="X41" i="1"/>
  <c r="AC41" i="1" s="1"/>
  <c r="X53" i="1"/>
  <c r="W53" i="1" s="1"/>
  <c r="Y53" i="1" s="1"/>
  <c r="AT51" i="1"/>
  <c r="X67" i="1"/>
  <c r="AA67" i="1" s="1"/>
  <c r="Z79" i="1"/>
  <c r="AB79" i="1"/>
  <c r="J67" i="1"/>
  <c r="H67" i="1"/>
  <c r="J51" i="1"/>
  <c r="H51" i="1"/>
  <c r="N79" i="1"/>
  <c r="H79" i="1"/>
  <c r="J53" i="1"/>
  <c r="H53" i="1"/>
  <c r="P45" i="1"/>
  <c r="AQ41" i="1"/>
  <c r="AS41" i="1" s="1"/>
  <c r="J41" i="1"/>
  <c r="H41" i="1"/>
  <c r="AQ79" i="1"/>
  <c r="AS79" i="1" s="1"/>
  <c r="J76" i="1"/>
  <c r="H76" i="1"/>
  <c r="J70" i="1"/>
  <c r="H70" i="1"/>
  <c r="M68" i="1"/>
  <c r="M58" i="1"/>
  <c r="H58" i="1"/>
  <c r="J50" i="1"/>
  <c r="H50" i="1"/>
  <c r="AQ46" i="1"/>
  <c r="AS46" i="1" s="1"/>
  <c r="J92" i="1"/>
  <c r="H92" i="1"/>
  <c r="O48" i="1"/>
  <c r="H48" i="1"/>
  <c r="M45" i="1"/>
  <c r="H45" i="1"/>
  <c r="N68" i="1"/>
  <c r="M47" i="1"/>
  <c r="H47" i="1"/>
  <c r="U79" i="1"/>
  <c r="N77" i="1"/>
  <c r="H77" i="1"/>
  <c r="M72" i="1"/>
  <c r="H72" i="1"/>
  <c r="AH72" i="1"/>
  <c r="P72" i="1"/>
  <c r="AG68" i="1"/>
  <c r="P68" i="1"/>
  <c r="J68" i="1"/>
  <c r="M61" i="1"/>
  <c r="H61" i="1"/>
  <c r="N57" i="1"/>
  <c r="H57" i="1"/>
  <c r="O51" i="1"/>
  <c r="J49" i="1"/>
  <c r="H49" i="1"/>
  <c r="O47" i="1"/>
  <c r="J46" i="1"/>
  <c r="H46" i="1"/>
  <c r="J45" i="1"/>
  <c r="M79" i="1"/>
  <c r="O77" i="1"/>
  <c r="U76" i="1"/>
  <c r="P91" i="1"/>
  <c r="H91" i="1"/>
  <c r="AH79" i="1"/>
  <c r="AG79" i="1"/>
  <c r="J72" i="1"/>
  <c r="P58" i="1"/>
  <c r="O57" i="1"/>
  <c r="AQ53" i="1"/>
  <c r="AS53" i="1" s="1"/>
  <c r="M51" i="1"/>
  <c r="N47" i="1"/>
  <c r="N45" i="1"/>
  <c r="W79" i="1"/>
  <c r="Y79" i="1" s="1"/>
  <c r="U77" i="1"/>
  <c r="O76" i="1"/>
  <c r="M91" i="1"/>
  <c r="U72" i="1"/>
  <c r="AQ58" i="1"/>
  <c r="AS58" i="1" s="1"/>
  <c r="N51" i="1"/>
  <c r="AQ48" i="1"/>
  <c r="AS48" i="1" s="1"/>
  <c r="AQ76" i="1"/>
  <c r="AS76" i="1" s="1"/>
  <c r="AT68" i="1"/>
  <c r="O58" i="1"/>
  <c r="M57" i="1"/>
  <c r="P51" i="1"/>
  <c r="AC79" i="1"/>
  <c r="O79" i="1"/>
  <c r="U92" i="1"/>
  <c r="Z77" i="1"/>
  <c r="AA77" i="1"/>
  <c r="W77" i="1"/>
  <c r="Y77" i="1" s="1"/>
  <c r="AB77" i="1"/>
  <c r="AC77" i="1"/>
  <c r="T76" i="1"/>
  <c r="S76" i="1"/>
  <c r="O49" i="1"/>
  <c r="T70" i="1"/>
  <c r="AQ67" i="1"/>
  <c r="AS67" i="1" s="1"/>
  <c r="O67" i="1"/>
  <c r="U61" i="1"/>
  <c r="U57" i="1"/>
  <c r="P57" i="1"/>
  <c r="J57" i="1"/>
  <c r="AH51" i="1"/>
  <c r="AQ50" i="1"/>
  <c r="AS50" i="1" s="1"/>
  <c r="AH49" i="1"/>
  <c r="N49" i="1"/>
  <c r="O46" i="1"/>
  <c r="AA79" i="1"/>
  <c r="AQ77" i="1"/>
  <c r="AS77" i="1" s="1"/>
  <c r="AI77" i="1"/>
  <c r="U91" i="1"/>
  <c r="AQ92" i="1"/>
  <c r="AS92" i="1" s="1"/>
  <c r="AI92" i="1"/>
  <c r="O92" i="1"/>
  <c r="AD68" i="1"/>
  <c r="T58" i="1"/>
  <c r="T57" i="1"/>
  <c r="M49" i="1"/>
  <c r="AI46" i="1"/>
  <c r="AI41" i="1"/>
  <c r="AG77" i="1"/>
  <c r="AI76" i="1"/>
  <c r="AG92" i="1"/>
  <c r="AH70" i="1"/>
  <c r="X70" i="1"/>
  <c r="AB70" i="1" s="1"/>
  <c r="AT61" i="1"/>
  <c r="O70" i="1"/>
  <c r="T67" i="1"/>
  <c r="AT57" i="1"/>
  <c r="P49" i="1"/>
  <c r="AT47" i="1"/>
  <c r="AT45" i="1"/>
  <c r="O41" i="1"/>
  <c r="W48" i="1"/>
  <c r="Y48" i="1" s="1"/>
  <c r="AA46" i="1"/>
  <c r="AD51" i="1"/>
  <c r="AB48" i="1"/>
  <c r="AB92" i="1"/>
  <c r="AC92" i="1"/>
  <c r="Z92" i="1"/>
  <c r="AD92" i="1"/>
  <c r="W92" i="1"/>
  <c r="Y92" i="1" s="1"/>
  <c r="AA92" i="1"/>
  <c r="S92" i="1"/>
  <c r="N92" i="1"/>
  <c r="M92" i="1"/>
  <c r="P92" i="1"/>
  <c r="AB91" i="1"/>
  <c r="AA91" i="1"/>
  <c r="W91" i="1"/>
  <c r="Y91" i="1" s="1"/>
  <c r="AD91" i="1"/>
  <c r="Z91" i="1"/>
  <c r="AC91" i="1"/>
  <c r="AG91" i="1"/>
  <c r="N91" i="1"/>
  <c r="AH91" i="1"/>
  <c r="AT91" i="1"/>
  <c r="O91" i="1"/>
  <c r="S91" i="1"/>
  <c r="J91" i="1"/>
  <c r="W76" i="1"/>
  <c r="Y76" i="1" s="1"/>
  <c r="AA76" i="1"/>
  <c r="AB76" i="1"/>
  <c r="AC76" i="1"/>
  <c r="Z76" i="1"/>
  <c r="AD76" i="1"/>
  <c r="T79" i="1"/>
  <c r="P79" i="1"/>
  <c r="J79" i="1"/>
  <c r="T77" i="1"/>
  <c r="P77" i="1"/>
  <c r="J77" i="1"/>
  <c r="AH76" i="1"/>
  <c r="N76" i="1"/>
  <c r="AI79" i="1"/>
  <c r="M76" i="1"/>
  <c r="AD79" i="1"/>
  <c r="AD77" i="1"/>
  <c r="P76" i="1"/>
  <c r="S72" i="1"/>
  <c r="T72" i="1"/>
  <c r="S68" i="1"/>
  <c r="T68" i="1"/>
  <c r="W57" i="1"/>
  <c r="Y57" i="1" s="1"/>
  <c r="AA57" i="1"/>
  <c r="AB57" i="1"/>
  <c r="AC57" i="1"/>
  <c r="AD57" i="1"/>
  <c r="AH61" i="1"/>
  <c r="AI61" i="1"/>
  <c r="AG72" i="1"/>
  <c r="AT70" i="1"/>
  <c r="W72" i="1"/>
  <c r="Y72" i="1" s="1"/>
  <c r="AA72" i="1"/>
  <c r="Z72" i="1"/>
  <c r="N70" i="1"/>
  <c r="M70" i="1"/>
  <c r="AG67" i="1"/>
  <c r="AH67" i="1"/>
  <c r="M67" i="1"/>
  <c r="N67" i="1"/>
  <c r="T61" i="1"/>
  <c r="S61" i="1"/>
  <c r="AI57" i="1"/>
  <c r="AG57" i="1"/>
  <c r="AH57" i="1"/>
  <c r="AC72" i="1"/>
  <c r="AT72" i="1"/>
  <c r="W68" i="1"/>
  <c r="Y68" i="1" s="1"/>
  <c r="AA68" i="1"/>
  <c r="AB68" i="1"/>
  <c r="AD72" i="1"/>
  <c r="AI70" i="1"/>
  <c r="P70" i="1"/>
  <c r="AH68" i="1"/>
  <c r="AC68" i="1"/>
  <c r="U68" i="1"/>
  <c r="P67" i="1"/>
  <c r="AG61" i="1"/>
  <c r="AB61" i="1"/>
  <c r="Z61" i="1"/>
  <c r="AD61" i="1"/>
  <c r="W61" i="1"/>
  <c r="Y61" i="1" s="1"/>
  <c r="AA61" i="1"/>
  <c r="AG58" i="1"/>
  <c r="AH58" i="1"/>
  <c r="X58" i="1"/>
  <c r="J58" i="1"/>
  <c r="T53" i="1"/>
  <c r="O53" i="1"/>
  <c r="AG51" i="1"/>
  <c r="T50" i="1"/>
  <c r="O50" i="1"/>
  <c r="AG49" i="1"/>
  <c r="S48" i="1"/>
  <c r="S51" i="1"/>
  <c r="T51" i="1"/>
  <c r="AC50" i="1"/>
  <c r="Z50" i="1"/>
  <c r="AD50" i="1"/>
  <c r="S49" i="1"/>
  <c r="T49" i="1"/>
  <c r="S46" i="1"/>
  <c r="T46" i="1"/>
  <c r="S41" i="1"/>
  <c r="T41" i="1"/>
  <c r="AG53" i="1"/>
  <c r="AH53" i="1"/>
  <c r="M53" i="1"/>
  <c r="N53" i="1"/>
  <c r="W51" i="1"/>
  <c r="Y51" i="1" s="1"/>
  <c r="AA51" i="1"/>
  <c r="AB51" i="1"/>
  <c r="AG50" i="1"/>
  <c r="AH50" i="1"/>
  <c r="M50" i="1"/>
  <c r="N50" i="1"/>
  <c r="W49" i="1"/>
  <c r="Y49" i="1" s="1"/>
  <c r="AA49" i="1"/>
  <c r="AB49" i="1"/>
  <c r="AG48" i="1"/>
  <c r="AH48" i="1"/>
  <c r="AG47" i="1"/>
  <c r="AH47" i="1"/>
  <c r="AI47" i="1"/>
  <c r="AG45" i="1"/>
  <c r="AH45" i="1"/>
  <c r="AI45" i="1"/>
  <c r="N58" i="1"/>
  <c r="P53" i="1"/>
  <c r="AC51" i="1"/>
  <c r="P50" i="1"/>
  <c r="AC49" i="1"/>
  <c r="J48" i="1"/>
  <c r="P48" i="1"/>
  <c r="M48" i="1"/>
  <c r="N48" i="1"/>
  <c r="AC47" i="1"/>
  <c r="Z47" i="1"/>
  <c r="AD47" i="1"/>
  <c r="W47" i="1"/>
  <c r="Y47" i="1" s="1"/>
  <c r="AA47" i="1"/>
  <c r="AB47" i="1"/>
  <c r="AC45" i="1"/>
  <c r="Z45" i="1"/>
  <c r="AD45" i="1"/>
  <c r="W45" i="1"/>
  <c r="Y45" i="1" s="1"/>
  <c r="AA45" i="1"/>
  <c r="AB45" i="1"/>
  <c r="AD48" i="1"/>
  <c r="Z48" i="1"/>
  <c r="T47" i="1"/>
  <c r="AH46" i="1"/>
  <c r="AD46" i="1"/>
  <c r="Z46" i="1"/>
  <c r="N46" i="1"/>
  <c r="T45" i="1"/>
  <c r="AH41" i="1"/>
  <c r="N41" i="1"/>
  <c r="M46" i="1"/>
  <c r="M41" i="1"/>
  <c r="P46" i="1"/>
  <c r="P41" i="1"/>
  <c r="AU75" i="1"/>
  <c r="AY75" i="1"/>
  <c r="BA75" i="1"/>
  <c r="BA40" i="1"/>
  <c r="AY40" i="1"/>
  <c r="AU40" i="1"/>
  <c r="AQ40" i="1"/>
  <c r="AS40" i="1" s="1"/>
  <c r="AS75" i="1"/>
  <c r="AT75" i="1"/>
  <c r="AT40" i="1"/>
  <c r="AN40" i="1"/>
  <c r="AP40" i="1" s="1"/>
  <c r="AN75" i="1"/>
  <c r="AP75" i="1" s="1"/>
  <c r="AL40" i="1"/>
  <c r="AJ40" i="1"/>
  <c r="AJ75" i="1"/>
  <c r="X75" i="1"/>
  <c r="AC75" i="1" s="1"/>
  <c r="X40" i="1"/>
  <c r="AA40" i="1" s="1"/>
  <c r="U40" i="1"/>
  <c r="U75" i="1"/>
  <c r="Q40" i="1"/>
  <c r="T40" i="1" s="1"/>
  <c r="Q75" i="1"/>
  <c r="S75" i="1" s="1"/>
  <c r="AZ30" i="1"/>
  <c r="AZ28" i="1"/>
  <c r="AZ27" i="1"/>
  <c r="AZ26" i="1"/>
  <c r="AZ25" i="1"/>
  <c r="AZ24" i="1"/>
  <c r="AZ23" i="1"/>
  <c r="AZ12" i="1"/>
  <c r="AZ13" i="1"/>
  <c r="AZ14" i="1"/>
  <c r="AZ15" i="1"/>
  <c r="AZ16" i="1"/>
  <c r="AZ18" i="1"/>
  <c r="AZ19" i="1"/>
  <c r="AZ20" i="1"/>
  <c r="AZ11" i="1"/>
  <c r="BB30" i="1"/>
  <c r="BA30" i="1" s="1"/>
  <c r="BB20" i="1"/>
  <c r="BA20" i="1" s="1"/>
  <c r="BB12" i="1"/>
  <c r="BA12" i="1" s="1"/>
  <c r="BB13" i="1"/>
  <c r="BA13" i="1" s="1"/>
  <c r="BB14" i="1"/>
  <c r="BA14" i="1" s="1"/>
  <c r="BB15" i="1"/>
  <c r="BA15" i="1" s="1"/>
  <c r="BB16" i="1"/>
  <c r="BA16" i="1" s="1"/>
  <c r="BB18" i="1"/>
  <c r="BA18" i="1" s="1"/>
  <c r="BB11" i="1"/>
  <c r="BA11" i="1" s="1"/>
  <c r="BB28" i="1"/>
  <c r="BB27" i="1"/>
  <c r="BB26" i="1"/>
  <c r="BB25" i="1"/>
  <c r="BB24" i="1"/>
  <c r="BB23" i="1"/>
  <c r="BA21" i="1"/>
  <c r="BA22" i="1"/>
  <c r="AV12" i="1"/>
  <c r="AV13" i="1"/>
  <c r="AV14" i="1"/>
  <c r="AV15" i="1"/>
  <c r="AV16" i="1"/>
  <c r="AV18" i="1"/>
  <c r="AV19" i="1"/>
  <c r="AV20" i="1"/>
  <c r="AV23" i="1"/>
  <c r="AV24" i="1"/>
  <c r="AV25" i="1"/>
  <c r="AV26" i="1"/>
  <c r="AV27" i="1"/>
  <c r="AV28" i="1"/>
  <c r="AV11" i="1"/>
  <c r="AV30" i="1" s="1"/>
  <c r="AS12" i="1"/>
  <c r="AT12" i="1"/>
  <c r="AS13" i="1"/>
  <c r="AT13" i="1"/>
  <c r="AS14" i="1"/>
  <c r="AT14" i="1"/>
  <c r="AS15" i="1"/>
  <c r="AT15" i="1"/>
  <c r="AS16" i="1"/>
  <c r="AT16" i="1"/>
  <c r="AS21" i="1"/>
  <c r="AT21" i="1"/>
  <c r="AS22" i="1"/>
  <c r="AT22" i="1"/>
  <c r="AS23" i="1"/>
  <c r="AT23" i="1"/>
  <c r="AS24" i="1"/>
  <c r="AT24" i="1"/>
  <c r="AS25" i="1"/>
  <c r="AT25" i="1"/>
  <c r="AS26" i="1"/>
  <c r="AT26" i="1"/>
  <c r="AS27" i="1"/>
  <c r="AT27" i="1"/>
  <c r="AS28" i="1"/>
  <c r="AT28" i="1"/>
  <c r="AT11" i="1"/>
  <c r="AS11" i="1"/>
  <c r="AR12" i="1"/>
  <c r="AR13" i="1"/>
  <c r="AR14" i="1"/>
  <c r="AR15" i="1"/>
  <c r="AR16" i="1"/>
  <c r="AR23" i="1"/>
  <c r="AR24" i="1"/>
  <c r="AR25" i="1"/>
  <c r="AR26" i="1"/>
  <c r="AR27" i="1"/>
  <c r="AR28" i="1"/>
  <c r="AR11" i="1"/>
  <c r="AP30" i="1"/>
  <c r="AP28" i="1"/>
  <c r="AP26" i="1"/>
  <c r="AP25" i="1"/>
  <c r="AP24" i="1"/>
  <c r="AP23" i="1"/>
  <c r="AP12" i="1"/>
  <c r="AP13" i="1"/>
  <c r="AP14" i="1"/>
  <c r="AP15" i="1"/>
  <c r="AP16" i="1"/>
  <c r="AP18" i="1"/>
  <c r="AP19" i="1"/>
  <c r="AP20" i="1"/>
  <c r="AP11" i="1"/>
  <c r="AP21" i="1"/>
  <c r="AP22" i="1"/>
  <c r="AP27" i="1"/>
  <c r="AZ36" i="1"/>
  <c r="AZ35" i="1"/>
  <c r="AK12" i="1"/>
  <c r="AK13" i="1"/>
  <c r="AK14" i="1"/>
  <c r="AK15" i="1"/>
  <c r="AK16" i="1"/>
  <c r="AK18" i="1"/>
  <c r="AK19" i="1"/>
  <c r="AK20" i="1"/>
  <c r="AK23" i="1"/>
  <c r="AK24" i="1"/>
  <c r="AK25" i="1"/>
  <c r="AK26" i="1"/>
  <c r="AK27" i="1"/>
  <c r="AK28" i="1"/>
  <c r="AK11" i="1"/>
  <c r="AF11" i="1"/>
  <c r="AF18" i="1" s="1"/>
  <c r="AF12" i="1"/>
  <c r="AF13" i="1"/>
  <c r="AF14" i="1"/>
  <c r="AF15" i="1"/>
  <c r="AF16" i="1"/>
  <c r="AF23" i="1"/>
  <c r="AF24" i="1"/>
  <c r="AF25" i="1"/>
  <c r="AF26" i="1"/>
  <c r="AF27" i="1"/>
  <c r="AF28" i="1"/>
  <c r="AF30" i="1"/>
  <c r="AD30" i="1"/>
  <c r="AA30" i="1"/>
  <c r="AB11" i="1"/>
  <c r="AD28" i="1"/>
  <c r="AB27" i="1"/>
  <c r="AD26" i="1"/>
  <c r="AB25" i="1"/>
  <c r="AD24" i="1"/>
  <c r="AB23" i="1"/>
  <c r="AD22" i="1"/>
  <c r="AB21" i="1"/>
  <c r="AD20" i="1"/>
  <c r="AB19" i="1"/>
  <c r="AD18" i="1"/>
  <c r="AB16" i="1"/>
  <c r="AD15" i="1"/>
  <c r="AB14" i="1"/>
  <c r="AD13" i="1"/>
  <c r="AB12" i="1"/>
  <c r="AD11" i="1"/>
  <c r="V36" i="1"/>
  <c r="V35" i="1"/>
  <c r="V30" i="1"/>
  <c r="V28" i="1"/>
  <c r="V27" i="1"/>
  <c r="V26" i="1"/>
  <c r="V25" i="1"/>
  <c r="V24" i="1"/>
  <c r="V23" i="1"/>
  <c r="V20" i="1"/>
  <c r="V19" i="1"/>
  <c r="V18" i="1"/>
  <c r="V16" i="1"/>
  <c r="V15" i="1"/>
  <c r="V14" i="1"/>
  <c r="V13" i="1"/>
  <c r="V12" i="1"/>
  <c r="V11" i="1"/>
  <c r="T36" i="1"/>
  <c r="S36" i="1"/>
  <c r="T35" i="1"/>
  <c r="S35" i="1"/>
  <c r="T34" i="1"/>
  <c r="S34" i="1"/>
  <c r="T33" i="1"/>
  <c r="S33" i="1"/>
  <c r="T32" i="1"/>
  <c r="S32" i="1"/>
  <c r="T31" i="1"/>
  <c r="S31" i="1"/>
  <c r="T30" i="1"/>
  <c r="S30" i="1"/>
  <c r="T28" i="1"/>
  <c r="S28" i="1"/>
  <c r="T27" i="1"/>
  <c r="S27" i="1"/>
  <c r="T26" i="1"/>
  <c r="S26" i="1"/>
  <c r="T25" i="1"/>
  <c r="S25" i="1"/>
  <c r="T24" i="1"/>
  <c r="S24" i="1"/>
  <c r="T23" i="1"/>
  <c r="S23" i="1"/>
  <c r="T22" i="1"/>
  <c r="S22" i="1"/>
  <c r="T21" i="1"/>
  <c r="S21" i="1"/>
  <c r="T16" i="1"/>
  <c r="S16" i="1"/>
  <c r="T15" i="1"/>
  <c r="S15" i="1"/>
  <c r="T14" i="1"/>
  <c r="S14" i="1"/>
  <c r="T13" i="1"/>
  <c r="S13" i="1"/>
  <c r="T12" i="1"/>
  <c r="S12" i="1"/>
  <c r="T11" i="1"/>
  <c r="S11" i="1"/>
  <c r="R36" i="1"/>
  <c r="R35" i="1"/>
  <c r="R30" i="1"/>
  <c r="R28" i="1"/>
  <c r="R27" i="1"/>
  <c r="R26" i="1"/>
  <c r="R25" i="1"/>
  <c r="R24" i="1"/>
  <c r="R23" i="1"/>
  <c r="R16" i="1"/>
  <c r="R15" i="1"/>
  <c r="R14" i="1"/>
  <c r="R13" i="1"/>
  <c r="R12" i="1"/>
  <c r="R11" i="1"/>
  <c r="E79" i="1"/>
  <c r="E77" i="1"/>
  <c r="E76" i="1"/>
  <c r="E75" i="1"/>
  <c r="E58" i="1"/>
  <c r="E57" i="1"/>
  <c r="E72" i="1"/>
  <c r="E70" i="1"/>
  <c r="E68" i="1"/>
  <c r="E67" i="1"/>
  <c r="E61" i="1"/>
  <c r="E53" i="1"/>
  <c r="E51" i="1"/>
  <c r="E50" i="1"/>
  <c r="E49" i="1"/>
  <c r="E48" i="1"/>
  <c r="E47" i="1"/>
  <c r="E46" i="1"/>
  <c r="E45" i="1"/>
  <c r="E41" i="1"/>
  <c r="E40" i="1"/>
  <c r="E30" i="1"/>
  <c r="E28" i="1"/>
  <c r="E27" i="1"/>
  <c r="E26" i="1"/>
  <c r="E25" i="1"/>
  <c r="E24" i="1"/>
  <c r="E23" i="1"/>
  <c r="E12" i="1"/>
  <c r="E13" i="1"/>
  <c r="E14" i="1"/>
  <c r="E15" i="1"/>
  <c r="E16" i="1"/>
  <c r="D16" i="1" s="1"/>
  <c r="E18" i="1"/>
  <c r="E19" i="1"/>
  <c r="E20" i="1"/>
  <c r="AI21" i="1"/>
  <c r="AH21" i="1"/>
  <c r="AG21" i="1"/>
  <c r="P21" i="1"/>
  <c r="O21" i="1"/>
  <c r="N21" i="1"/>
  <c r="M21" i="1"/>
  <c r="E11" i="1"/>
  <c r="I16" i="1"/>
  <c r="AG16" i="1"/>
  <c r="AH16" i="1"/>
  <c r="AI16" i="1"/>
  <c r="AM16" i="1"/>
  <c r="AS30" i="1" l="1"/>
  <c r="AR17" i="1"/>
  <c r="AR18" i="1"/>
  <c r="AQ18" i="1" s="1"/>
  <c r="AR19" i="1"/>
  <c r="AQ19" i="1" s="1"/>
  <c r="AR20" i="1"/>
  <c r="AQ20" i="1" s="1"/>
  <c r="R18" i="1"/>
  <c r="R19" i="1"/>
  <c r="R20" i="1"/>
  <c r="N16" i="1"/>
  <c r="K16" i="1"/>
  <c r="L16" i="1"/>
  <c r="J16" i="1"/>
  <c r="Z41" i="1"/>
  <c r="AD53" i="1"/>
  <c r="AA22" i="1"/>
  <c r="Z53" i="1"/>
  <c r="AC53" i="1"/>
  <c r="AC67" i="1"/>
  <c r="W41" i="1"/>
  <c r="Y41" i="1" s="1"/>
  <c r="W67" i="1"/>
  <c r="Y67" i="1" s="1"/>
  <c r="AB28" i="1"/>
  <c r="AC27" i="1"/>
  <c r="Z27" i="1"/>
  <c r="AB24" i="1"/>
  <c r="AA24" i="1"/>
  <c r="Y23" i="1"/>
  <c r="Z23" i="1"/>
  <c r="X20" i="1"/>
  <c r="AA20" i="1"/>
  <c r="AD19" i="1"/>
  <c r="X15" i="1"/>
  <c r="AC14" i="1"/>
  <c r="AD41" i="1"/>
  <c r="AD67" i="1"/>
  <c r="AB41" i="1"/>
  <c r="Z40" i="1"/>
  <c r="Z70" i="1"/>
  <c r="AA41" i="1"/>
  <c r="Z67" i="1"/>
  <c r="AB67" i="1"/>
  <c r="AA53" i="1"/>
  <c r="AB53" i="1"/>
  <c r="AF20" i="1"/>
  <c r="X23" i="1"/>
  <c r="AC23" i="1"/>
  <c r="AA26" i="1"/>
  <c r="AD27" i="1"/>
  <c r="AB30" i="1"/>
  <c r="AD23" i="1"/>
  <c r="Y27" i="1"/>
  <c r="AA28" i="1"/>
  <c r="AA13" i="1"/>
  <c r="AD14" i="1"/>
  <c r="Y19" i="1"/>
  <c r="Y14" i="1"/>
  <c r="AA15" i="1"/>
  <c r="Z19" i="1"/>
  <c r="AB20" i="1"/>
  <c r="AA18" i="1"/>
  <c r="X11" i="1"/>
  <c r="AA11" i="1"/>
  <c r="Z14" i="1"/>
  <c r="AB15" i="1"/>
  <c r="AC19" i="1"/>
  <c r="AC12" i="1"/>
  <c r="AC16" i="1"/>
  <c r="AC21" i="1"/>
  <c r="Y25" i="1"/>
  <c r="AC25" i="1"/>
  <c r="X12" i="1"/>
  <c r="AD21" i="1"/>
  <c r="Z25" i="1"/>
  <c r="AD25" i="1"/>
  <c r="AB26" i="1"/>
  <c r="AC70" i="1"/>
  <c r="X13" i="1"/>
  <c r="X18" i="1"/>
  <c r="Y11" i="1"/>
  <c r="AC11" i="1"/>
  <c r="AA12" i="1"/>
  <c r="Y13" i="1"/>
  <c r="AC13" i="1"/>
  <c r="AA14" i="1"/>
  <c r="Y15" i="1"/>
  <c r="AC15" i="1"/>
  <c r="AA16" i="1"/>
  <c r="Y18" i="1"/>
  <c r="AC18" i="1"/>
  <c r="AA19" i="1"/>
  <c r="Y20" i="1"/>
  <c r="AC20" i="1"/>
  <c r="AA21" i="1"/>
  <c r="Y22" i="1"/>
  <c r="AC22" i="1"/>
  <c r="AA23" i="1"/>
  <c r="Y24" i="1"/>
  <c r="AC24" i="1"/>
  <c r="AA25" i="1"/>
  <c r="Y26" i="1"/>
  <c r="AC26" i="1"/>
  <c r="AA27" i="1"/>
  <c r="Y28" i="1"/>
  <c r="AC28" i="1"/>
  <c r="AF19" i="1"/>
  <c r="AT30" i="1"/>
  <c r="AD70" i="1"/>
  <c r="Y12" i="1"/>
  <c r="Y16" i="1"/>
  <c r="Y21" i="1"/>
  <c r="X16" i="1"/>
  <c r="Z12" i="1"/>
  <c r="AD12" i="1"/>
  <c r="AB13" i="1"/>
  <c r="Z16" i="1"/>
  <c r="AD16" i="1"/>
  <c r="AB18" i="1"/>
  <c r="Z21" i="1"/>
  <c r="AB22" i="1"/>
  <c r="AR30" i="1"/>
  <c r="X14" i="1"/>
  <c r="X19" i="1"/>
  <c r="Z11" i="1"/>
  <c r="Z13" i="1"/>
  <c r="Z15" i="1"/>
  <c r="Z18" i="1"/>
  <c r="Z20" i="1"/>
  <c r="Z22" i="1"/>
  <c r="Z24" i="1"/>
  <c r="Z26" i="1"/>
  <c r="Z28" i="1"/>
  <c r="W70" i="1"/>
  <c r="Y70" i="1" s="1"/>
  <c r="AA70" i="1"/>
  <c r="AD75" i="1"/>
  <c r="AB75" i="1"/>
  <c r="Z75" i="1"/>
  <c r="T75" i="1"/>
  <c r="AC58" i="1"/>
  <c r="AA58" i="1"/>
  <c r="W58" i="1"/>
  <c r="Y58" i="1" s="1"/>
  <c r="AB58" i="1"/>
  <c r="AD58" i="1"/>
  <c r="Z58" i="1"/>
  <c r="S40" i="1"/>
  <c r="AA75" i="1"/>
  <c r="Y30" i="1"/>
  <c r="AC30" i="1"/>
  <c r="Z30" i="1"/>
  <c r="O16" i="1"/>
  <c r="M16" i="1"/>
  <c r="P16" i="1"/>
  <c r="D50" i="1" l="1"/>
  <c r="D48" i="1"/>
  <c r="I30" i="1" l="1"/>
  <c r="P30" i="1" s="1"/>
  <c r="I28" i="1"/>
  <c r="O28" i="1" s="1"/>
  <c r="I27" i="1"/>
  <c r="I26" i="1"/>
  <c r="I25" i="1"/>
  <c r="I24" i="1"/>
  <c r="M24" i="1" s="1"/>
  <c r="I23" i="1"/>
  <c r="I12" i="1"/>
  <c r="I13" i="1"/>
  <c r="I14" i="1"/>
  <c r="P14" i="1" s="1"/>
  <c r="I15" i="1"/>
  <c r="I18" i="1"/>
  <c r="I19" i="1"/>
  <c r="I20" i="1"/>
  <c r="O20" i="1" s="1"/>
  <c r="I11" i="1"/>
  <c r="J75" i="1"/>
  <c r="M75" i="1"/>
  <c r="N75" i="1"/>
  <c r="O75" i="1"/>
  <c r="P75" i="1"/>
  <c r="P40" i="1"/>
  <c r="O40" i="1"/>
  <c r="N40" i="1"/>
  <c r="M40" i="1"/>
  <c r="J40" i="1"/>
  <c r="M22" i="1"/>
  <c r="N22" i="1"/>
  <c r="O22" i="1"/>
  <c r="P22" i="1"/>
  <c r="N14" i="1" l="1"/>
  <c r="P24" i="1"/>
  <c r="O24" i="1"/>
  <c r="N12" i="1"/>
  <c r="K12" i="1"/>
  <c r="L12" i="1"/>
  <c r="J12" i="1"/>
  <c r="K26" i="1"/>
  <c r="L26" i="1"/>
  <c r="J26" i="1"/>
  <c r="N15" i="1"/>
  <c r="J15" i="1"/>
  <c r="K15" i="1"/>
  <c r="L15" i="1"/>
  <c r="M27" i="1"/>
  <c r="K27" i="1"/>
  <c r="J27" i="1"/>
  <c r="L27" i="1"/>
  <c r="N20" i="1"/>
  <c r="J20" i="1"/>
  <c r="K20" i="1"/>
  <c r="L20" i="1"/>
  <c r="M14" i="1"/>
  <c r="K14" i="1"/>
  <c r="J14" i="1"/>
  <c r="L14" i="1"/>
  <c r="J24" i="1"/>
  <c r="K24" i="1"/>
  <c r="L24" i="1"/>
  <c r="N28" i="1"/>
  <c r="J28" i="1"/>
  <c r="K28" i="1"/>
  <c r="L28" i="1"/>
  <c r="M18" i="1"/>
  <c r="K18" i="1"/>
  <c r="L18" i="1"/>
  <c r="J18" i="1"/>
  <c r="N11" i="1"/>
  <c r="K11" i="1"/>
  <c r="L11" i="1"/>
  <c r="M23" i="1"/>
  <c r="K23" i="1"/>
  <c r="J23" i="1"/>
  <c r="L23" i="1"/>
  <c r="P20" i="1"/>
  <c r="M19" i="1"/>
  <c r="K19" i="1"/>
  <c r="J19" i="1"/>
  <c r="L19" i="1"/>
  <c r="M13" i="1"/>
  <c r="K13" i="1"/>
  <c r="L13" i="1"/>
  <c r="J13" i="1"/>
  <c r="N25" i="1"/>
  <c r="K25" i="1"/>
  <c r="L25" i="1"/>
  <c r="J25" i="1"/>
  <c r="M30" i="1"/>
  <c r="K30" i="1"/>
  <c r="L30" i="1"/>
  <c r="J30" i="1"/>
  <c r="O25" i="1"/>
  <c r="N24" i="1"/>
  <c r="O26" i="1"/>
  <c r="O18" i="1"/>
  <c r="N18" i="1"/>
  <c r="P26" i="1"/>
  <c r="P18" i="1"/>
  <c r="M15" i="1"/>
  <c r="O27" i="1"/>
  <c r="M25" i="1"/>
  <c r="O15" i="1"/>
  <c r="M28" i="1"/>
  <c r="P28" i="1"/>
  <c r="O14" i="1"/>
  <c r="O13" i="1"/>
  <c r="M11" i="1"/>
  <c r="J11" i="1"/>
  <c r="P25" i="1"/>
  <c r="P15" i="1"/>
  <c r="O23" i="1"/>
  <c r="P19" i="1"/>
  <c r="P13" i="1"/>
  <c r="O30" i="1"/>
  <c r="N30" i="1"/>
  <c r="N26" i="1"/>
  <c r="M26" i="1"/>
  <c r="M20" i="1"/>
  <c r="O19" i="1"/>
  <c r="N19" i="1"/>
  <c r="P12" i="1"/>
  <c r="M12" i="1"/>
  <c r="P27" i="1"/>
  <c r="P23" i="1"/>
  <c r="N27" i="1"/>
  <c r="N23" i="1"/>
  <c r="N13" i="1"/>
  <c r="O12" i="1"/>
  <c r="P11" i="1"/>
  <c r="O11" i="1"/>
  <c r="AM11" i="1" l="1"/>
  <c r="AM12" i="1"/>
  <c r="AM13" i="1"/>
  <c r="AM14" i="1"/>
  <c r="AM15" i="1"/>
  <c r="AM18" i="1"/>
  <c r="AM19" i="1"/>
  <c r="AM20" i="1"/>
  <c r="AM23" i="1"/>
  <c r="AM24" i="1"/>
  <c r="AM25" i="1"/>
  <c r="AM26" i="1"/>
  <c r="AM27" i="1"/>
  <c r="AM28" i="1"/>
  <c r="AM30" i="1"/>
  <c r="AE75" i="1" l="1"/>
  <c r="AH75" i="1" s="1"/>
  <c r="AE40" i="1"/>
  <c r="AH40" i="1" l="1"/>
  <c r="AG40" i="1"/>
  <c r="AH12" i="1"/>
  <c r="AH13" i="1"/>
  <c r="AH14" i="1"/>
  <c r="AH15" i="1"/>
  <c r="AH18" i="1"/>
  <c r="AH19" i="1"/>
  <c r="AH20" i="1"/>
  <c r="AH22" i="1"/>
  <c r="AH23" i="1"/>
  <c r="AH24" i="1"/>
  <c r="AH25" i="1"/>
  <c r="AH26" i="1"/>
  <c r="AH27" i="1"/>
  <c r="AH28" i="1"/>
  <c r="AH30" i="1"/>
  <c r="AH11" i="1"/>
  <c r="AI30" i="1" l="1"/>
  <c r="AG30" i="1"/>
  <c r="AG20" i="1"/>
  <c r="AI20" i="1"/>
  <c r="AG28" i="1"/>
  <c r="AI28" i="1"/>
  <c r="AG18" i="1"/>
  <c r="AI18" i="1"/>
  <c r="AG26" i="1"/>
  <c r="AI26" i="1"/>
  <c r="AG25" i="1"/>
  <c r="AI25" i="1"/>
  <c r="AI24" i="1"/>
  <c r="AG24" i="1"/>
  <c r="AG22" i="1"/>
  <c r="AI22" i="1"/>
  <c r="AI19" i="1"/>
  <c r="AG19" i="1"/>
  <c r="AG27" i="1"/>
  <c r="AI27" i="1"/>
  <c r="AG23" i="1"/>
  <c r="AI23" i="1"/>
  <c r="AI75" i="1"/>
  <c r="AG75" i="1"/>
  <c r="AI40" i="1"/>
  <c r="AG12" i="1"/>
  <c r="AI12" i="1"/>
  <c r="AG13" i="1"/>
  <c r="AI13" i="1"/>
  <c r="AG14" i="1"/>
  <c r="AI14" i="1"/>
  <c r="AG15" i="1"/>
  <c r="AI15" i="1"/>
  <c r="AI11" i="1"/>
  <c r="AG11" i="1"/>
  <c r="D76" i="1"/>
  <c r="D77" i="1"/>
  <c r="D79" i="1"/>
  <c r="D75" i="1"/>
  <c r="D58" i="1"/>
  <c r="D57" i="1"/>
  <c r="AD40" i="1"/>
  <c r="AC40" i="1"/>
  <c r="AB40" i="1"/>
  <c r="X30" i="1"/>
  <c r="X24" i="1"/>
  <c r="X25" i="1"/>
  <c r="X26" i="1"/>
  <c r="X27" i="1"/>
  <c r="X28" i="1"/>
  <c r="AL75" i="1"/>
  <c r="D41" i="1"/>
  <c r="D45" i="1"/>
  <c r="D46" i="1"/>
  <c r="D47" i="1"/>
  <c r="D49" i="1"/>
  <c r="D51" i="1"/>
  <c r="D53" i="1"/>
  <c r="D61" i="1"/>
  <c r="D67" i="1"/>
  <c r="D68" i="1"/>
  <c r="D70" i="1"/>
  <c r="D72" i="1"/>
  <c r="D40" i="1"/>
  <c r="D12" i="1"/>
  <c r="D13" i="1"/>
  <c r="D14" i="1"/>
  <c r="D15" i="1"/>
  <c r="D18" i="1"/>
  <c r="D19" i="1"/>
  <c r="D20" i="1"/>
  <c r="D23" i="1"/>
  <c r="D24" i="1"/>
  <c r="D25" i="1"/>
  <c r="D26" i="1"/>
  <c r="D27" i="1"/>
  <c r="D28" i="1"/>
  <c r="D30" i="1"/>
  <c r="D11" i="1"/>
  <c r="W75" i="1"/>
  <c r="Y75" i="1" s="1"/>
  <c r="W40" i="1"/>
  <c r="Y40" i="1" s="1"/>
  <c r="BA19" i="1" l="1"/>
  <c r="Q18" i="1" l="1"/>
  <c r="T18" i="1" s="1"/>
  <c r="Q20" i="1"/>
  <c r="S20" i="1" s="1"/>
  <c r="Q19" i="1"/>
  <c r="T19" i="1" s="1"/>
  <c r="S19" i="1" l="1"/>
  <c r="T20" i="1"/>
  <c r="S18" i="1"/>
  <c r="Q17" i="1"/>
  <c r="R17" i="1" l="1"/>
  <c r="S17" i="1"/>
  <c r="T17" i="1"/>
  <c r="AT19" i="1" l="1"/>
  <c r="AT18" i="1"/>
  <c r="AS20" i="1"/>
  <c r="AS18" i="1" l="1"/>
  <c r="AT20" i="1"/>
  <c r="AS19" i="1"/>
  <c r="AT17" i="1" l="1"/>
  <c r="AS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DD0135AA-5CED-41C9-B6C7-70B5B8A90895}">
      <text>
        <r>
          <rPr>
            <b/>
            <sz val="9"/>
            <color indexed="81"/>
            <rFont val="Tahoma"/>
            <family val="2"/>
          </rPr>
          <t>Peet Kotzé:</t>
        </r>
        <r>
          <rPr>
            <sz val="9"/>
            <color indexed="81"/>
            <rFont val="Tahoma"/>
            <family val="2"/>
          </rPr>
          <t xml:space="preserve">
2017 - R 675 300
2018 - +15% (MPS)
2019 - + 12.5% (Ethiqal 10-15%)
2020 - + 12.5% (Ethiqal 10-15%)
2021 - + 7% (Estimate Market %)
2022 - + 5.8% (Same as funders)
</t>
        </r>
      </text>
    </comment>
  </commentList>
</comments>
</file>

<file path=xl/sharedStrings.xml><?xml version="1.0" encoding="utf-8"?>
<sst xmlns="http://schemas.openxmlformats.org/spreadsheetml/2006/main" count="362" uniqueCount="245">
  <si>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</si>
  <si>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</si>
  <si>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</si>
  <si>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</si>
  <si>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</si>
  <si>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</si>
  <si>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</si>
  <si>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</si>
  <si>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</si>
  <si>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</si>
  <si>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</si>
  <si>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</si>
  <si>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0147</t>
  </si>
  <si>
    <t>0199</t>
  </si>
  <si>
    <t>Chronic Medicine Forms</t>
  </si>
  <si>
    <t>0113</t>
  </si>
  <si>
    <t>0190</t>
  </si>
  <si>
    <t>0191</t>
  </si>
  <si>
    <t>0192</t>
  </si>
  <si>
    <t>0149</t>
  </si>
  <si>
    <t>0173</t>
  </si>
  <si>
    <t>0174</t>
  </si>
  <si>
    <t>0175</t>
  </si>
  <si>
    <t>Hospital follow-up visit</t>
  </si>
  <si>
    <t>Newborn Attendance - Emergency at all hours</t>
  </si>
  <si>
    <t>Emergency after-hours services(+25%)</t>
  </si>
  <si>
    <t>Procedures</t>
  </si>
  <si>
    <t>0130</t>
  </si>
  <si>
    <t>1206</t>
  </si>
  <si>
    <t>1210</t>
  </si>
  <si>
    <t>1851</t>
  </si>
  <si>
    <t>1205</t>
  </si>
  <si>
    <t>1204</t>
  </si>
  <si>
    <t>1213</t>
  </si>
  <si>
    <t>1653</t>
  </si>
  <si>
    <t>1188</t>
  </si>
  <si>
    <t>1587</t>
  </si>
  <si>
    <t>1186</t>
  </si>
  <si>
    <t>1208</t>
  </si>
  <si>
    <t>1847</t>
  </si>
  <si>
    <t>1252</t>
  </si>
  <si>
    <t>Telephone consultation (all hours)</t>
  </si>
  <si>
    <t>Flow volume test: Inspiration/expiration</t>
  </si>
  <si>
    <t>Intensive care: Category 3 (ICU): Cases with multiple organ failure or Category 2 patients which may require multidisciplinary intervention: First day (primary practitioner)</t>
  </si>
  <si>
    <t>Intensive care: Category 3 (ICU): Cases with multiple organ failure or Category 2 patients which may require multidisciplinary intervention: Subsequent days (per involved practitioner)</t>
  </si>
  <si>
    <t>Ventilation: Subsequent days, per day</t>
  </si>
  <si>
    <t>Electrocardiogram: Without effort</t>
  </si>
  <si>
    <t>Multi-stage treadmill test</t>
  </si>
  <si>
    <t>Upper gastro-intestinal endoscopy: Hospital equipment</t>
  </si>
  <si>
    <t>Total colonoscopy: With hospital equipment (including biopsy)</t>
  </si>
  <si>
    <t>Haemodialysis: Per hour or part thereof</t>
  </si>
  <si>
    <t>Haemodialysis: Thereafter per week</t>
  </si>
  <si>
    <t>Cardiac examination plus Doppler colour mapping</t>
  </si>
  <si>
    <t>Cardiac examination (MMode)</t>
  </si>
  <si>
    <t>Cardiac examination: 2 Dimensional</t>
  </si>
  <si>
    <t>Cardiac examinations + doppler</t>
  </si>
  <si>
    <t xml:space="preserve">Flow volume test: Inspiration/expiration/pre- and post bronchodilator </t>
  </si>
  <si>
    <t>Intensive care: Category 1 (High Care)</t>
  </si>
  <si>
    <t>Intensive care: Category 2 (ICU): Cases requiring active system support  First day</t>
  </si>
  <si>
    <t>Intensive care: Category 2 (ICU): Cases requiring active system support Subsequent days, per day</t>
  </si>
  <si>
    <t>Left heart catheterisation with coronary angiography</t>
  </si>
  <si>
    <t>Ultrasound examination includes whole abdomen and pelvic organs, where pelvic organs are clinically indicated</t>
  </si>
  <si>
    <t>Hospital Consultation</t>
  </si>
  <si>
    <t>Consultation</t>
  </si>
  <si>
    <t>Units</t>
  </si>
  <si>
    <t>R</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</si>
  <si>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</si>
  <si>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</si>
  <si>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</si>
  <si>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</si>
  <si>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</si>
  <si>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</si>
  <si>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</si>
  <si>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</si>
  <si>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</si>
  <si>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</si>
  <si>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</si>
  <si>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CAS18</t>
  </si>
  <si>
    <t>HDM1</t>
  </si>
  <si>
    <t>n/a</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</si>
  <si>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</si>
  <si>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</si>
  <si>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</si>
  <si>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</si>
  <si>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</si>
  <si>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</si>
  <si>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</si>
  <si>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</si>
  <si>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</si>
  <si>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</si>
  <si>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</si>
  <si>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</si>
  <si>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</si>
  <si>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</si>
  <si>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</si>
  <si>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</si>
  <si>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</si>
  <si>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</si>
  <si>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</si>
  <si>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</si>
  <si>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</si>
  <si>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</si>
  <si>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</si>
  <si>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</si>
  <si>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(Con) - GP</t>
  </si>
  <si>
    <t>GEMS (Con) - Paeds</t>
  </si>
  <si>
    <t>GEMS (Con) - Gyn</t>
  </si>
  <si>
    <t>GEMS (Con)
- 17 
-18
- 19
- 20
- 21
- 31</t>
  </si>
  <si>
    <t>GEMS</t>
  </si>
  <si>
    <t>KeyHealth</t>
  </si>
  <si>
    <t>Bestmed</t>
  </si>
  <si>
    <t>Medihelp</t>
  </si>
  <si>
    <t>ProfMed</t>
  </si>
  <si>
    <t>HealthMan - Specialists</t>
  </si>
  <si>
    <t>HealthMan - Psychiatry</t>
  </si>
  <si>
    <t>HealthMan - GP</t>
  </si>
  <si>
    <t>COMPARATIVE TARIFFS</t>
  </si>
  <si>
    <t>1207</t>
  </si>
  <si>
    <t>1209</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</si>
  <si>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</si>
  <si>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Intensive care: Category 3 (ICU): Cases with multiple organ failure or Category 2 patients which may require multidisciplinary intervention: First day (per involved practitioner)</t>
  </si>
  <si>
    <t>New &amp; Updated Procedures (Coding Changes)</t>
  </si>
  <si>
    <t>Ambulatory continuous glucose monitoring of interstitial tissue fluid via a subcutaneous sensor for a minimum of 72 hours: Includes sensor placement, hook-up, calibration of monitor, patient training, removal of sensor and printout of recording</t>
  </si>
  <si>
    <t>Ambulatory continuous glucose monitoring: Interstitial tissue fluid via a subcutaneous sensor for a minimum of 72 hours (includes interpretation and report)</t>
  </si>
  <si>
    <t>HealthMan</t>
  </si>
  <si>
    <t>BankMed</t>
  </si>
  <si>
    <t>POLMED</t>
  </si>
  <si>
    <t>Other</t>
  </si>
  <si>
    <t>RCF</t>
  </si>
  <si>
    <t>Base 
Rate</t>
  </si>
  <si>
    <t>Base
Rate</t>
  </si>
  <si>
    <t>DPA</t>
  </si>
  <si>
    <t>KeyCare</t>
  </si>
  <si>
    <t>Prem A 
(IH)</t>
  </si>
  <si>
    <t>Prem A 
(OH)</t>
  </si>
  <si>
    <t>Prem B</t>
  </si>
  <si>
    <t>Classic Rate</t>
  </si>
  <si>
    <t>Exec Rate</t>
  </si>
  <si>
    <t>Non-Contracted
RCF</t>
  </si>
  <si>
    <t>Contracted Base Rate</t>
  </si>
  <si>
    <t>Contracted
RCF</t>
  </si>
  <si>
    <t>Base Rate</t>
  </si>
  <si>
    <t>POLMED 
DPA</t>
  </si>
  <si>
    <t>BestMed Base Rate</t>
  </si>
  <si>
    <t>BestMed
RCF</t>
  </si>
  <si>
    <t>Medihelp Base Rate</t>
  </si>
  <si>
    <t>Medihelp RCF</t>
  </si>
  <si>
    <t>Profmed
Base Rate</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</si>
  <si>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</si>
  <si>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</si>
  <si>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r>
      <t xml:space="preserve">Casualty Evaluation Code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</si>
  <si>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</si>
  <si>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</si>
  <si>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</si>
  <si>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99239</t>
  </si>
  <si>
    <t>Hospital discharge day Management; 30 Minutes or Less</t>
  </si>
  <si>
    <t>Hospital discharge day Management; more than 30 Minutes</t>
  </si>
  <si>
    <t>0133</t>
  </si>
  <si>
    <t xml:space="preserve">Special motivations for procedures and treatment </t>
  </si>
  <si>
    <t>0148</t>
  </si>
  <si>
    <t>Elective after-hours services(+50%)</t>
  </si>
  <si>
    <r>
      <t xml:space="preserve">Casualty Evaluation Code 
</t>
    </r>
    <r>
      <rPr>
        <i/>
        <sz val="10"/>
        <color theme="5" tint="-0.249977111117893"/>
        <rFont val="Calibri"/>
        <family val="2"/>
        <scheme val="minor"/>
      </rPr>
      <t>(Excl. Executive &amp; Classic Plans)</t>
    </r>
  </si>
  <si>
    <t>9. All Fees marked in "Green" have not been published by the particular Scheme, the tariffs were calculated based on the relvant RCF, e.g. Consulting RCF (please refer to the Disclaimer)</t>
  </si>
  <si>
    <t>Non-Network
Base Rate</t>
  </si>
  <si>
    <t>Non-Network
RCF</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</si>
  <si>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</si>
  <si>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</si>
  <si>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</si>
  <si>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</si>
  <si>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</si>
  <si>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</si>
  <si>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</si>
  <si>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</si>
  <si>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</si>
  <si>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</si>
  <si>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</si>
  <si>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</si>
  <si>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</si>
  <si>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8. All Tariffs are inlcusive of VAT (15%)</t>
  </si>
  <si>
    <t>0193</t>
  </si>
  <si>
    <t>Functional residual capacity or residual volume: Helium method, nitrogen open circuit method or other method</t>
  </si>
  <si>
    <t>Determination of resistance to airflow, oscillary or plethysmographic methods</t>
  </si>
  <si>
    <t>Carbon monoxide diffusing capacity, any method</t>
  </si>
  <si>
    <t>Ventilation: First day</t>
  </si>
  <si>
    <t>Ventilation: After two weeks, per calendar day</t>
  </si>
  <si>
    <t>Hyperalimentation (per calender day)</t>
  </si>
  <si>
    <t>Professional component for a physician interpreting an ECG: Without effort</t>
  </si>
  <si>
    <t>24-hour ambulatory ECG monitoring (holter): Equipment hire</t>
  </si>
  <si>
    <t>24-hour ambulatory ECG monitoring (holter): Interpretation</t>
  </si>
  <si>
    <t>Full electrophysiological study</t>
  </si>
  <si>
    <t>Accessory pathway ablation</t>
  </si>
  <si>
    <t>Electrophysiological mapping</t>
  </si>
  <si>
    <t>Percutaneous transluminal angioplasty: First cardiologist: Single lesion</t>
  </si>
  <si>
    <t>Insertion of intravascular stent: First cardiologist</t>
  </si>
  <si>
    <t>PLUS polypectomy: ADD to colonoscopy (item 1653 or item 1656): per lesion</t>
  </si>
  <si>
    <t>Acute haemodialysis: First calendar day: Appropriate for haemodialysis in intensive or high care unit (the medical doctor does not have to be present for the duration of the treatment)</t>
  </si>
  <si>
    <t>Continuous haemodialysis per calendar day in intensive or high care unit</t>
  </si>
  <si>
    <t>Bone densitometry (to be coded once only for one or more levels done at the same session)</t>
  </si>
  <si>
    <t>Trans-oesophageal echocardiography including passing the device</t>
  </si>
  <si>
    <t>Plus (+) colour doppler (may be added onto any other regional exam, but not to be added to items 3605, 5110, 5111, 5112, 5113 or 5114)</t>
  </si>
  <si>
    <t>Carotid ultrasound vascular study: B mode, pulsed and colour Doppler; bilateral study, internal, external and common carotid flow and anatomy</t>
  </si>
  <si>
    <t>Full ultrasonic and colour Doppler evaluation of entire extracranial vascular tree: Carotids, vertebral and subclavian vessels (not to be used together with items 5110, 5112, 5113 or 5114)</t>
  </si>
  <si>
    <t>Infusional pharmacotherapy: Item to be used for the treatment of non cancerous conditions with bolus or infusional pharmacotherapy per treatment day (consultations to be coded separately)</t>
  </si>
  <si>
    <t>Non-infusional chemotherapy: Global code for the management of and for related services delivered in the treatment of cancer with oral chemotherapy (per cycle), intramuscular (IMI), subcutaneous, intrathecal or bolus chemotherapy or oncology specific drug administration per treatment day - for exclusive use by doctors with appropriate oncology training (consultations to be coded separately) - (not applicable to oral hormonal therapy)</t>
  </si>
  <si>
    <t>Infusional chemotherapy: Global code for the management of and for services delivered during infusional chemotherapy per treatment day - for exclusive use by doctors with the appropriate oncology training using recognised chemotherapy facilities (consultations items should be added separately)</t>
  </si>
  <si>
    <t>Infusional chemotherapy facility: A facility where oncology medicines are procured, stored, admixed and administered, and in which appropriately-trained medical, nursing and support staff are in attendance. To be used by doctors with the appropriate oncology training who own or rent the facility, and by others, e.g. hospitals or clinics that provide the services as per the appropriate coding structure. These facilities must be accredited under the auspices of the SA Society for Medical Oncology (SASMO) and/or the SA Society of Clinical and Radiation Oncology (SASCRO) (to be used in conjunction with item 5793) - only one of the parties may use this item</t>
  </si>
  <si>
    <t>1232</t>
  </si>
  <si>
    <t>1235</t>
  </si>
  <si>
    <t>3620</t>
  </si>
  <si>
    <t>3621</t>
  </si>
  <si>
    <t>3622</t>
  </si>
  <si>
    <t>3625</t>
  </si>
  <si>
    <t>3627</t>
  </si>
  <si>
    <t>0126</t>
  </si>
  <si>
    <t xml:space="preserve">Unscheduled consultation (cons.room) </t>
  </si>
  <si>
    <t xml:space="preserve">Emergency consultation (cons.room) </t>
  </si>
  <si>
    <t>Emergency consultation (not cons.room)</t>
  </si>
  <si>
    <t>Polmed Network</t>
  </si>
  <si>
    <t>Polmed Non Network</t>
  </si>
  <si>
    <t>2. Tariffs may differ due to rounding.</t>
  </si>
  <si>
    <t>3. The above codes are the most frequently used codes per discipline and is not an all-inclusive list of all the codes used.</t>
  </si>
  <si>
    <t>6. Other DPAs</t>
  </si>
  <si>
    <t>6.1 We wish to remind you that Bankmed now has one of two Specialist DPA's (Prestige A &amp; B) to choose from.</t>
  </si>
  <si>
    <t xml:space="preserve">6.2 For the Discovery Classic DPA OH consultation you may Bill above the network base rate as per our schedule’s rate.  </t>
  </si>
  <si>
    <t>6.3 Please note that Discovery ICU coding has separate RCFs  since 2017.</t>
  </si>
  <si>
    <t xml:space="preserve">6.4. In general payment arrangement rates have NOT been split between In-Hospital &amp; Out-Hospital, as both are published by schemes.  Use as appropriate for the procedure.  </t>
  </si>
  <si>
    <t xml:space="preserve">        HealthMan, PsychMg and SASOP will communicate to the members as soon as they are being accepted and published by funders.</t>
  </si>
  <si>
    <t>CAMAF Base Rate</t>
  </si>
  <si>
    <t>CAMAF RCF</t>
  </si>
  <si>
    <t>Network Base Rate</t>
  </si>
  <si>
    <t>Network
RCF</t>
  </si>
  <si>
    <t>Non-Contracted Base Rate</t>
  </si>
  <si>
    <t>Ethical 
Tariff</t>
  </si>
  <si>
    <t>Please refer to the Notes and Disclaimer on the Digital version of this document before use</t>
  </si>
  <si>
    <t>5. GEMS</t>
  </si>
  <si>
    <t xml:space="preserve">5.1 Please familiarise yourself with the changes in GEMS  </t>
  </si>
  <si>
    <t>5.2 GEMS implemented a differential increase between Network and Non-Network base rates</t>
  </si>
  <si>
    <t xml:space="preserve">6.5 Please note that Fedhealth has a Gynae Network rate for codes 2614 and 2615 at 165% for the lower options, instead of the usual scheme rate. </t>
  </si>
  <si>
    <t>13. The changes in Psychiatry coding effective 2021 has not yet been accepted by many Funders and should be coded as usual - except where communicated</t>
  </si>
  <si>
    <t>HEALTHMAN PHYSICIAN COSTING GUIDE 2023</t>
  </si>
  <si>
    <t xml:space="preserve">    Please note that many of the descriptors are shortened versions.  For the full descriptors please refer to the 2022/23 SAMA eMDCM.</t>
  </si>
  <si>
    <t xml:space="preserve">4. The HealthMan Rate increased by 7.5% (equal to our current assessment of medical inflation). </t>
  </si>
  <si>
    <t>5.3 The Network rate increased with 6.9% and 6.65% compared to the Non-Network that increased only 5.9%.    </t>
  </si>
  <si>
    <t>12. Please note the SAMA 2023 eMDCM has not yet been published as of 31 January 2023.</t>
  </si>
  <si>
    <t>CAMAF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</si>
</sst>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quot;R&quot;\ #,##0.00"/>
    <numFmt numFmtId="166" formatCode="0.000"/>
    <numFmt numFmtId="167" formatCode="_ * #,##0.000_ ;_ * \-#,##0.000_ ;_ * &quot;-&quot;??_ ;_ @_ "/>
    <numFmt numFmtId="168" formatCode="_(* #,##0.000_);_(* \(#,##0.000\);_(* &quot;-&quot;??_);_(@_)"/>
    <numFmt numFmtId="169" formatCode="[$R-1C09]\ #,##0.00"/>
  </numFmts>
  <fonts count="54"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1"/>
      <name val="Calibri"/>
      <family val="2"/>
      <scheme val="minor"/>
    </font>
    <font>
      <b/>
      <sz val="10"/>
      <color rgb="FF7030A0"/>
      <name val="Calibri"/>
      <family val="2"/>
      <scheme val="minor"/>
    </font>
    <font>
      <b/>
      <i/>
      <sz val="10"/>
      <color rgb="FF00B050"/>
      <name val="Calibri"/>
      <family val="2"/>
      <scheme val="minor"/>
    </font>
    <font>
      <b/>
      <i/>
      <sz val="10"/>
      <color rgb="FF7030A0"/>
      <name val="Calibri"/>
      <family val="2"/>
      <scheme val="minor"/>
    </font>
    <font>
      <sz val="10"/>
      <color theme="5" tint="-0.249977111117893"/>
      <name val="Calibri"/>
      <family val="2"/>
      <scheme val="minor"/>
    </font>
    <font>
      <b/>
      <i/>
      <sz val="10"/>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sz val="10"/>
      <color rgb="FFC00000"/>
      <name val="Calibri"/>
      <family val="2"/>
      <scheme val="minor"/>
    </font>
    <font>
      <sz val="10"/>
      <color rgb="FFC00000"/>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sz val="10"/>
      <color rgb="FFFF0000"/>
      <name val="Calibri"/>
      <family val="2"/>
      <scheme val="minor"/>
    </font>
    <font>
      <b/>
      <sz val="9"/>
      <color indexed="81"/>
      <name val="Tahoma"/>
      <family val="2"/>
    </font>
    <font>
      <sz val="9"/>
      <color indexed="81"/>
      <name val="Tahoma"/>
      <family val="2"/>
    </font>
    <font>
      <sz val="10"/>
      <color rgb="FF7030A0"/>
      <name val="Calibri"/>
      <family val="2"/>
      <scheme val="minor"/>
    </font>
    <font>
      <b/>
      <i/>
      <sz val="10"/>
      <name val="Calibri"/>
      <family val="2"/>
      <scheme val="minor"/>
    </font>
    <font>
      <i/>
      <sz val="10"/>
      <color rgb="FF000000"/>
      <name val="Calibri"/>
      <family val="2"/>
    </font>
    <font>
      <b/>
      <i/>
      <sz val="10"/>
      <color rgb="FF000000"/>
      <name val="Calibri"/>
      <family val="2"/>
    </font>
    <font>
      <b/>
      <i/>
      <sz val="11"/>
      <color rgb="FFC00000"/>
      <name val="Calibri"/>
      <family val="2"/>
    </font>
    <font>
      <b/>
      <i/>
      <sz val="10"/>
      <color theme="1"/>
      <name val="Calibri"/>
      <family val="2"/>
      <scheme val="minor"/>
    </font>
    <font>
      <i/>
      <sz val="10"/>
      <color theme="1"/>
      <name val="Calibri"/>
      <family val="2"/>
      <scheme val="minor"/>
    </font>
    <font>
      <b/>
      <sz val="10"/>
      <color theme="0"/>
      <name val="Calibri"/>
      <family val="2"/>
      <scheme val="minor"/>
    </font>
    <font>
      <sz val="10"/>
      <color theme="0"/>
      <name val="Calibri"/>
      <family val="2"/>
      <scheme val="minor"/>
    </font>
    <font>
      <b/>
      <i/>
      <u/>
      <sz val="10"/>
      <color theme="0"/>
      <name val="Calibri"/>
      <family val="2"/>
      <scheme val="minor"/>
    </font>
    <font>
      <i/>
      <sz val="10"/>
      <color theme="0"/>
      <name val="Calibri"/>
      <family val="2"/>
      <scheme val="minor"/>
    </font>
    <font>
      <sz val="11"/>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00B050"/>
        <bgColor indexed="64"/>
      </patternFill>
    </fill>
    <fill>
      <patternFill patternType="solid">
        <fgColor rgb="FFC00000"/>
        <bgColor indexed="64"/>
      </patternFill>
    </fill>
    <fill>
      <patternFill patternType="solid">
        <fgColor rgb="FF00B0F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53">
    <xf numFmtId="0" fontId="0" fillId="0" borderId="0" xfId="0"/>
    <xf numFmtId="0" fontId="2" fillId="3" borderId="2" xfId="0" applyFont="1" applyFill="1" applyBorder="1" applyProtection="1">
      <protection hidden="1"/>
    </xf>
    <xf numFmtId="0" fontId="2" fillId="3" borderId="3" xfId="0" applyFont="1" applyFill="1" applyBorder="1" applyProtection="1">
      <protection hidden="1"/>
    </xf>
    <xf numFmtId="0" fontId="2" fillId="3" borderId="4" xfId="0" applyFont="1" applyFill="1" applyBorder="1" applyProtection="1">
      <protection hidden="1"/>
    </xf>
    <xf numFmtId="0" fontId="3" fillId="2" borderId="0" xfId="0" applyFont="1" applyFill="1" applyProtection="1">
      <protection hidden="1"/>
    </xf>
    <xf numFmtId="164" fontId="5" fillId="2" borderId="0" xfId="1" applyFont="1" applyFill="1" applyBorder="1" applyProtection="1">
      <protection hidden="1"/>
    </xf>
    <xf numFmtId="166" fontId="5" fillId="2" borderId="0" xfId="0" applyNumberFormat="1" applyFont="1" applyFill="1" applyProtection="1">
      <protection hidden="1"/>
    </xf>
    <xf numFmtId="167" fontId="5" fillId="2" borderId="0" xfId="1" applyNumberFormat="1" applyFont="1" applyFill="1" applyBorder="1" applyProtection="1">
      <protection hidden="1"/>
    </xf>
    <xf numFmtId="2" fontId="5" fillId="2" borderId="0" xfId="0" applyNumberFormat="1" applyFont="1" applyFill="1" applyProtection="1">
      <protection hidden="1"/>
    </xf>
    <xf numFmtId="0" fontId="5" fillId="2" borderId="0" xfId="0" applyFont="1" applyFill="1" applyProtection="1">
      <protection hidden="1"/>
    </xf>
    <xf numFmtId="49" fontId="7" fillId="4" borderId="1" xfId="0" applyNumberFormat="1" applyFont="1" applyFill="1" applyBorder="1" applyAlignment="1" applyProtection="1">
      <alignment horizontal="center"/>
      <protection hidden="1"/>
    </xf>
    <xf numFmtId="0" fontId="7" fillId="2" borderId="4" xfId="0"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7" fontId="7" fillId="4" borderId="1" xfId="1" applyNumberFormat="1" applyFont="1" applyFill="1" applyBorder="1" applyAlignment="1" applyProtection="1">
      <alignment horizontal="center" wrapText="1"/>
      <protection hidden="1"/>
    </xf>
    <xf numFmtId="49" fontId="7" fillId="2" borderId="7" xfId="0" applyNumberFormat="1" applyFont="1" applyFill="1" applyBorder="1" applyAlignment="1" applyProtection="1">
      <alignment horizontal="center"/>
      <protection hidden="1"/>
    </xf>
    <xf numFmtId="0" fontId="7" fillId="2" borderId="0" xfId="0" applyFont="1" applyFill="1" applyAlignment="1" applyProtection="1">
      <alignment horizontal="center"/>
      <protection hidden="1"/>
    </xf>
    <xf numFmtId="164" fontId="7" fillId="5" borderId="1" xfId="1" applyFont="1" applyFill="1" applyBorder="1" applyAlignment="1" applyProtection="1">
      <alignment horizontal="center" wrapText="1"/>
      <protection hidden="1"/>
    </xf>
    <xf numFmtId="167" fontId="7" fillId="5" borderId="1" xfId="1" applyNumberFormat="1" applyFont="1" applyFill="1" applyBorder="1" applyAlignment="1" applyProtection="1">
      <alignment wrapText="1"/>
      <protection hidden="1"/>
    </xf>
    <xf numFmtId="167" fontId="7" fillId="5" borderId="1" xfId="1" applyNumberFormat="1"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49" fontId="8" fillId="2" borderId="7" xfId="0" applyNumberFormat="1" applyFont="1" applyFill="1" applyBorder="1" applyAlignment="1" applyProtection="1">
      <alignment horizontal="center"/>
      <protection hidden="1"/>
    </xf>
    <xf numFmtId="0" fontId="8" fillId="2" borderId="0" xfId="0" applyFont="1" applyFill="1" applyAlignment="1" applyProtection="1">
      <alignment horizontal="center"/>
      <protection hidden="1"/>
    </xf>
    <xf numFmtId="0" fontId="9" fillId="2" borderId="0" xfId="0" applyFont="1" applyFill="1" applyProtection="1">
      <protection hidden="1"/>
    </xf>
    <xf numFmtId="49" fontId="7" fillId="3" borderId="2" xfId="0" applyNumberFormat="1" applyFont="1" applyFill="1" applyBorder="1" applyAlignment="1" applyProtection="1">
      <alignment horizontal="center"/>
      <protection hidden="1"/>
    </xf>
    <xf numFmtId="0" fontId="10"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7" fontId="3" fillId="3" borderId="3" xfId="1" applyNumberFormat="1" applyFont="1" applyFill="1" applyBorder="1" applyProtection="1">
      <protection hidden="1"/>
    </xf>
    <xf numFmtId="164" fontId="7" fillId="3" borderId="3" xfId="1" applyFont="1" applyFill="1" applyBorder="1" applyProtection="1">
      <protection hidden="1"/>
    </xf>
    <xf numFmtId="9" fontId="7" fillId="3" borderId="3" xfId="0" applyNumberFormat="1" applyFont="1" applyFill="1" applyBorder="1" applyProtection="1">
      <protection hidden="1"/>
    </xf>
    <xf numFmtId="0" fontId="7" fillId="3" borderId="3" xfId="0" applyFont="1" applyFill="1" applyBorder="1" applyProtection="1">
      <protection hidden="1"/>
    </xf>
    <xf numFmtId="164" fontId="3" fillId="3" borderId="4" xfId="1" applyFont="1" applyFill="1" applyBorder="1" applyProtection="1">
      <protection hidden="1"/>
    </xf>
    <xf numFmtId="164" fontId="11" fillId="2" borderId="19" xfId="1" applyFont="1" applyFill="1" applyBorder="1" applyProtection="1">
      <protection hidden="1"/>
    </xf>
    <xf numFmtId="164" fontId="7" fillId="2" borderId="19" xfId="1" applyFont="1" applyFill="1" applyBorder="1" applyProtection="1">
      <protection hidden="1"/>
    </xf>
    <xf numFmtId="49" fontId="11" fillId="2" borderId="9" xfId="0" applyNumberFormat="1" applyFont="1" applyFill="1" applyBorder="1" applyAlignment="1" applyProtection="1">
      <alignment horizontal="center"/>
      <protection hidden="1"/>
    </xf>
    <xf numFmtId="0" fontId="12" fillId="2" borderId="17" xfId="0" applyFont="1" applyFill="1" applyBorder="1" applyAlignment="1" applyProtection="1">
      <alignment horizontal="left"/>
      <protection hidden="1"/>
    </xf>
    <xf numFmtId="0" fontId="5" fillId="2" borderId="20" xfId="0" applyFont="1" applyFill="1" applyBorder="1" applyProtection="1">
      <protection hidden="1"/>
    </xf>
    <xf numFmtId="164" fontId="5" fillId="2" borderId="20" xfId="1" applyFont="1" applyFill="1" applyBorder="1" applyProtection="1">
      <protection hidden="1"/>
    </xf>
    <xf numFmtId="166" fontId="7" fillId="2" borderId="20" xfId="0" applyNumberFormat="1" applyFont="1" applyFill="1" applyBorder="1" applyProtection="1">
      <protection hidden="1"/>
    </xf>
    <xf numFmtId="164" fontId="11" fillId="2" borderId="20" xfId="1" applyFont="1" applyFill="1" applyBorder="1" applyProtection="1">
      <protection hidden="1"/>
    </xf>
    <xf numFmtId="167" fontId="5" fillId="2" borderId="20" xfId="1" applyNumberFormat="1" applyFont="1" applyFill="1" applyBorder="1" applyProtection="1">
      <protection hidden="1"/>
    </xf>
    <xf numFmtId="164" fontId="7" fillId="2" borderId="20" xfId="1" applyFont="1" applyFill="1" applyBorder="1" applyProtection="1">
      <protection hidden="1"/>
    </xf>
    <xf numFmtId="167" fontId="7" fillId="2" borderId="20" xfId="1" applyNumberFormat="1" applyFont="1" applyFill="1" applyBorder="1" applyProtection="1">
      <protection hidden="1"/>
    </xf>
    <xf numFmtId="49" fontId="13" fillId="2" borderId="9"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49" fontId="7"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10"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1" fillId="2" borderId="21" xfId="1" applyFont="1" applyFill="1" applyBorder="1" applyProtection="1">
      <protection hidden="1"/>
    </xf>
    <xf numFmtId="166" fontId="11" fillId="2" borderId="21" xfId="0" applyNumberFormat="1" applyFont="1" applyFill="1" applyBorder="1" applyProtection="1">
      <protection hidden="1"/>
    </xf>
    <xf numFmtId="167" fontId="11" fillId="2" borderId="21" xfId="1" applyNumberFormat="1" applyFont="1" applyFill="1" applyBorder="1" applyProtection="1">
      <protection hidden="1"/>
    </xf>
    <xf numFmtId="165" fontId="11" fillId="2" borderId="21" xfId="0" applyNumberFormat="1" applyFont="1" applyFill="1" applyBorder="1" applyProtection="1">
      <protection hidden="1"/>
    </xf>
    <xf numFmtId="164" fontId="7" fillId="2" borderId="21" xfId="1" applyFont="1" applyFill="1" applyBorder="1" applyProtection="1">
      <protection hidden="1"/>
    </xf>
    <xf numFmtId="167" fontId="7" fillId="2" borderId="21" xfId="1" applyNumberFormat="1" applyFont="1" applyFill="1" applyBorder="1" applyProtection="1">
      <protection hidden="1"/>
    </xf>
    <xf numFmtId="49" fontId="7" fillId="2" borderId="8" xfId="0" applyNumberFormat="1" applyFont="1" applyFill="1" applyBorder="1" applyProtection="1">
      <protection hidden="1"/>
    </xf>
    <xf numFmtId="0" fontId="15" fillId="2" borderId="16" xfId="0" applyFont="1" applyFill="1" applyBorder="1" applyProtection="1">
      <protection hidden="1"/>
    </xf>
    <xf numFmtId="0" fontId="13" fillId="2" borderId="19" xfId="0" applyFont="1" applyFill="1" applyBorder="1" applyProtection="1">
      <protection hidden="1"/>
    </xf>
    <xf numFmtId="166" fontId="11" fillId="2" borderId="19" xfId="0" applyNumberFormat="1" applyFont="1" applyFill="1" applyBorder="1" applyProtection="1">
      <protection hidden="1"/>
    </xf>
    <xf numFmtId="167" fontId="11" fillId="2" borderId="19" xfId="1" applyNumberFormat="1" applyFont="1" applyFill="1" applyBorder="1" applyProtection="1">
      <protection hidden="1"/>
    </xf>
    <xf numFmtId="165" fontId="11" fillId="2" borderId="19" xfId="0" applyNumberFormat="1" applyFont="1" applyFill="1" applyBorder="1" applyProtection="1">
      <protection hidden="1"/>
    </xf>
    <xf numFmtId="167" fontId="7" fillId="2" borderId="19" xfId="1" applyNumberFormat="1" applyFont="1" applyFill="1" applyBorder="1" applyProtection="1">
      <protection hidden="1"/>
    </xf>
    <xf numFmtId="49" fontId="7" fillId="2" borderId="9" xfId="0" applyNumberFormat="1" applyFont="1" applyFill="1" applyBorder="1" applyProtection="1">
      <protection hidden="1"/>
    </xf>
    <xf numFmtId="0" fontId="7" fillId="2" borderId="0" xfId="0" applyFont="1" applyFill="1" applyProtection="1">
      <protection hidden="1"/>
    </xf>
    <xf numFmtId="0" fontId="7" fillId="2" borderId="17" xfId="0" applyFont="1" applyFill="1" applyBorder="1" applyAlignment="1" applyProtection="1">
      <alignment wrapText="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6" fontId="16" fillId="2" borderId="20" xfId="0"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Protection="1">
      <protection hidden="1"/>
    </xf>
    <xf numFmtId="0" fontId="3" fillId="2" borderId="21" xfId="0" applyFont="1" applyFill="1" applyBorder="1" applyProtection="1">
      <protection hidden="1"/>
    </xf>
    <xf numFmtId="164" fontId="5" fillId="2" borderId="21" xfId="1" applyFont="1" applyFill="1" applyBorder="1" applyProtection="1">
      <protection hidden="1"/>
    </xf>
    <xf numFmtId="166" fontId="5" fillId="2" borderId="21" xfId="0" applyNumberFormat="1" applyFont="1" applyFill="1" applyBorder="1" applyProtection="1">
      <protection hidden="1"/>
    </xf>
    <xf numFmtId="167" fontId="5" fillId="2" borderId="21" xfId="1" applyNumberFormat="1" applyFont="1" applyFill="1" applyBorder="1" applyProtection="1">
      <protection hidden="1"/>
    </xf>
    <xf numFmtId="0" fontId="5" fillId="2" borderId="21" xfId="0" applyFont="1" applyFill="1" applyBorder="1" applyProtection="1">
      <protection hidden="1"/>
    </xf>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7" fontId="3" fillId="2" borderId="5" xfId="1" applyNumberFormat="1"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7" fontId="19" fillId="2" borderId="5"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0" fontId="20" fillId="4" borderId="5" xfId="0" applyFont="1" applyFill="1" applyBorder="1" applyAlignment="1" applyProtection="1">
      <alignment wrapText="1"/>
      <protection hidden="1"/>
    </xf>
    <xf numFmtId="0" fontId="3" fillId="4" borderId="14" xfId="0" applyFont="1" applyFill="1" applyBorder="1" applyProtection="1">
      <protection hidden="1"/>
    </xf>
    <xf numFmtId="0" fontId="3" fillId="4" borderId="6" xfId="0" applyFont="1" applyFill="1" applyBorder="1" applyAlignment="1" applyProtection="1">
      <alignment wrapText="1"/>
      <protection hidden="1"/>
    </xf>
    <xf numFmtId="0" fontId="3" fillId="4" borderId="6" xfId="1" applyNumberFormat="1" applyFont="1" applyFill="1" applyBorder="1" applyAlignment="1" applyProtection="1">
      <alignment wrapText="1"/>
      <protection hidden="1"/>
    </xf>
    <xf numFmtId="164" fontId="3" fillId="4" borderId="6" xfId="1" applyFont="1" applyFill="1" applyBorder="1" applyAlignment="1" applyProtection="1">
      <alignment wrapText="1"/>
      <protection hidden="1"/>
    </xf>
    <xf numFmtId="167" fontId="3" fillId="4" borderId="6"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164" fontId="21" fillId="2" borderId="24" xfId="1" applyFont="1" applyFill="1" applyBorder="1" applyProtection="1">
      <protection hidden="1"/>
    </xf>
    <xf numFmtId="0" fontId="22" fillId="2" borderId="0" xfId="0" applyFont="1" applyFill="1" applyProtection="1">
      <protection hidden="1"/>
    </xf>
    <xf numFmtId="164" fontId="20" fillId="4" borderId="0" xfId="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7" fontId="7" fillId="6" borderId="20" xfId="1" applyNumberFormat="1" applyFont="1" applyFill="1" applyBorder="1" applyProtection="1">
      <protection hidden="1"/>
    </xf>
    <xf numFmtId="9" fontId="11" fillId="6" borderId="20" xfId="0" applyNumberFormat="1" applyFont="1" applyFill="1" applyBorder="1" applyProtection="1">
      <protection hidden="1"/>
    </xf>
    <xf numFmtId="0" fontId="11" fillId="6" borderId="20" xfId="0" applyFont="1" applyFill="1" applyBorder="1" applyProtection="1">
      <protection hidden="1"/>
    </xf>
    <xf numFmtId="164" fontId="7" fillId="6" borderId="20" xfId="1" applyFont="1" applyFill="1" applyBorder="1" applyProtection="1">
      <protection hidden="1"/>
    </xf>
    <xf numFmtId="164" fontId="7" fillId="6" borderId="20" xfId="0" applyNumberFormat="1" applyFont="1" applyFill="1" applyBorder="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167" fontId="7" fillId="6" borderId="21" xfId="1" applyNumberFormat="1" applyFont="1" applyFill="1" applyBorder="1" applyProtection="1">
      <protection hidden="1"/>
    </xf>
    <xf numFmtId="164" fontId="11" fillId="6" borderId="21" xfId="0" applyNumberFormat="1" applyFont="1" applyFill="1" applyBorder="1" applyProtection="1">
      <protection hidden="1"/>
    </xf>
    <xf numFmtId="164" fontId="11" fillId="6" borderId="21" xfId="1" applyFont="1" applyFill="1" applyBorder="1" applyProtection="1">
      <protection hidden="1"/>
    </xf>
    <xf numFmtId="167" fontId="7" fillId="6" borderId="19" xfId="1" applyNumberFormat="1" applyFont="1" applyFill="1" applyBorder="1" applyProtection="1">
      <protection hidden="1"/>
    </xf>
    <xf numFmtId="164" fontId="11" fillId="6" borderId="19" xfId="0" applyNumberFormat="1" applyFont="1" applyFill="1" applyBorder="1" applyProtection="1">
      <protection hidden="1"/>
    </xf>
    <xf numFmtId="164" fontId="11" fillId="6" borderId="19" xfId="1" applyFont="1" applyFill="1" applyBorder="1" applyProtection="1">
      <protection hidden="1"/>
    </xf>
    <xf numFmtId="0" fontId="5" fillId="6" borderId="21" xfId="0" applyFont="1" applyFill="1" applyBorder="1" applyProtection="1">
      <protection hidden="1"/>
    </xf>
    <xf numFmtId="164" fontId="5" fillId="6" borderId="21" xfId="1" applyFont="1" applyFill="1" applyBorder="1" applyProtection="1">
      <protection hidden="1"/>
    </xf>
    <xf numFmtId="164" fontId="2" fillId="3" borderId="3" xfId="1" applyFont="1" applyFill="1" applyBorder="1" applyAlignment="1" applyProtection="1">
      <protection hidden="1"/>
    </xf>
    <xf numFmtId="166" fontId="7" fillId="0" borderId="20" xfId="0" applyNumberFormat="1" applyFont="1" applyBorder="1" applyProtection="1">
      <protection hidden="1"/>
    </xf>
    <xf numFmtId="164" fontId="7" fillId="0" borderId="20" xfId="1" applyFont="1" applyFill="1" applyBorder="1" applyProtection="1">
      <protection hidden="1"/>
    </xf>
    <xf numFmtId="167" fontId="7" fillId="0" borderId="20" xfId="1" applyNumberFormat="1" applyFont="1" applyFill="1" applyBorder="1" applyProtection="1">
      <protection hidden="1"/>
    </xf>
    <xf numFmtId="0" fontId="7" fillId="4" borderId="1" xfId="1" applyNumberFormat="1"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center" wrapText="1"/>
      <protection hidden="1"/>
    </xf>
    <xf numFmtId="49" fontId="7" fillId="0" borderId="9" xfId="0" applyNumberFormat="1" applyFont="1" applyBorder="1" applyProtection="1">
      <protection hidden="1"/>
    </xf>
    <xf numFmtId="0" fontId="7" fillId="0" borderId="17" xfId="0" applyFont="1" applyBorder="1" applyAlignment="1" applyProtection="1">
      <alignment wrapText="1"/>
      <protection hidden="1"/>
    </xf>
    <xf numFmtId="0" fontId="7" fillId="0" borderId="20" xfId="1" applyNumberFormat="1" applyFont="1" applyFill="1" applyBorder="1" applyProtection="1">
      <protection hidden="1"/>
    </xf>
    <xf numFmtId="167" fontId="3" fillId="3" borderId="4" xfId="1" applyNumberFormat="1" applyFont="1" applyFill="1" applyBorder="1" applyProtection="1">
      <protection hidden="1"/>
    </xf>
    <xf numFmtId="0" fontId="15" fillId="2" borderId="16" xfId="0" applyFont="1" applyFill="1" applyBorder="1" applyAlignment="1" applyProtection="1">
      <alignment wrapText="1"/>
      <protection hidden="1"/>
    </xf>
    <xf numFmtId="164" fontId="13" fillId="2" borderId="19" xfId="1" applyFont="1" applyFill="1" applyBorder="1" applyProtection="1">
      <protection hidden="1"/>
    </xf>
    <xf numFmtId="0" fontId="6" fillId="3" borderId="6" xfId="0" applyFont="1" applyFill="1" applyBorder="1" applyProtection="1">
      <protection hidden="1"/>
    </xf>
    <xf numFmtId="164" fontId="6" fillId="3" borderId="6" xfId="1" applyFont="1" applyFill="1" applyBorder="1" applyAlignment="1" applyProtection="1">
      <protection hidden="1"/>
    </xf>
    <xf numFmtId="0" fontId="6" fillId="3" borderId="15" xfId="0" applyFont="1" applyFill="1" applyBorder="1" applyProtection="1">
      <protection hidden="1"/>
    </xf>
    <xf numFmtId="0" fontId="6" fillId="3" borderId="6"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8" fillId="4" borderId="25" xfId="1" applyFont="1" applyFill="1" applyBorder="1" applyAlignment="1" applyProtection="1">
      <alignment horizontal="center" wrapText="1"/>
      <protection hidden="1"/>
    </xf>
    <xf numFmtId="167" fontId="8" fillId="4" borderId="25" xfId="1" applyNumberFormat="1" applyFont="1" applyFill="1" applyBorder="1" applyAlignment="1" applyProtection="1">
      <alignment horizontal="center" wrapText="1"/>
      <protection hidden="1"/>
    </xf>
    <xf numFmtId="164" fontId="20" fillId="2" borderId="0" xfId="1" applyFont="1" applyFill="1" applyBorder="1" applyAlignment="1" applyProtection="1">
      <alignment wrapText="1"/>
      <protection hidden="1"/>
    </xf>
    <xf numFmtId="0" fontId="20" fillId="2" borderId="5" xfId="0" applyFont="1" applyFill="1" applyBorder="1" applyAlignment="1" applyProtection="1">
      <alignment wrapText="1"/>
      <protection hidden="1"/>
    </xf>
    <xf numFmtId="0" fontId="20" fillId="2" borderId="7" xfId="0" applyFont="1" applyFill="1" applyBorder="1" applyAlignment="1" applyProtection="1">
      <alignment horizontal="left"/>
      <protection hidden="1"/>
    </xf>
    <xf numFmtId="164" fontId="30" fillId="2" borderId="0" xfId="1" applyFont="1" applyFill="1" applyBorder="1" applyAlignment="1" applyProtection="1">
      <alignment wrapText="1"/>
      <protection hidden="1"/>
    </xf>
    <xf numFmtId="167" fontId="30" fillId="2" borderId="0" xfId="1" applyNumberFormat="1" applyFont="1" applyFill="1" applyBorder="1" applyAlignment="1" applyProtection="1">
      <alignment wrapText="1"/>
      <protection hidden="1"/>
    </xf>
    <xf numFmtId="167" fontId="30" fillId="2" borderId="5" xfId="1" applyNumberFormat="1" applyFont="1" applyFill="1" applyBorder="1" applyAlignment="1" applyProtection="1">
      <alignment wrapText="1"/>
      <protection hidden="1"/>
    </xf>
    <xf numFmtId="49" fontId="7" fillId="2" borderId="22" xfId="0" applyNumberFormat="1" applyFont="1" applyFill="1" applyBorder="1" applyProtection="1">
      <protection hidden="1"/>
    </xf>
    <xf numFmtId="49" fontId="7" fillId="2" borderId="23" xfId="0" applyNumberFormat="1" applyFont="1" applyFill="1" applyBorder="1" applyAlignment="1" applyProtection="1">
      <alignment wrapText="1"/>
      <protection hidden="1"/>
    </xf>
    <xf numFmtId="164" fontId="7" fillId="2" borderId="24" xfId="1" applyFont="1" applyFill="1" applyBorder="1" applyProtection="1">
      <protection hidden="1"/>
    </xf>
    <xf numFmtId="167" fontId="26" fillId="0" borderId="24" xfId="1" applyNumberFormat="1" applyFont="1" applyFill="1" applyBorder="1" applyProtection="1">
      <protection hidden="1"/>
    </xf>
    <xf numFmtId="164" fontId="27" fillId="2" borderId="24" xfId="1" applyFont="1" applyFill="1" applyBorder="1" applyProtection="1">
      <protection hidden="1"/>
    </xf>
    <xf numFmtId="167" fontId="27" fillId="0" borderId="24" xfId="1" applyNumberFormat="1" applyFont="1" applyFill="1" applyBorder="1" applyProtection="1">
      <protection hidden="1"/>
    </xf>
    <xf numFmtId="164" fontId="27" fillId="6" borderId="24" xfId="1" applyFont="1" applyFill="1" applyBorder="1" applyProtection="1">
      <protection hidden="1"/>
    </xf>
    <xf numFmtId="167" fontId="7" fillId="2" borderId="24" xfId="1" applyNumberFormat="1" applyFont="1" applyFill="1" applyBorder="1" applyProtection="1">
      <protection hidden="1"/>
    </xf>
    <xf numFmtId="0" fontId="6" fillId="3" borderId="14"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xf numFmtId="0" fontId="6" fillId="3" borderId="14" xfId="0" applyFont="1" applyFill="1" applyBorder="1" applyProtection="1">
      <protection hidden="1"/>
    </xf>
    <xf numFmtId="49" fontId="3" fillId="2" borderId="14" xfId="0" applyNumberFormat="1" applyFont="1" applyFill="1" applyBorder="1" applyProtection="1">
      <protection hidden="1"/>
    </xf>
    <xf numFmtId="0" fontId="4" fillId="2" borderId="6" xfId="0" applyFont="1" applyFill="1" applyBorder="1" applyProtection="1">
      <protection hidden="1"/>
    </xf>
    <xf numFmtId="0" fontId="4" fillId="2" borderId="6" xfId="1" applyNumberFormat="1" applyFont="1" applyFill="1" applyBorder="1" applyProtection="1">
      <protection hidden="1"/>
    </xf>
    <xf numFmtId="164" fontId="5" fillId="2" borderId="6" xfId="1" applyFont="1" applyFill="1" applyBorder="1" applyProtection="1">
      <protection hidden="1"/>
    </xf>
    <xf numFmtId="166" fontId="5" fillId="2" borderId="6" xfId="0" applyNumberFormat="1" applyFont="1" applyFill="1" applyBorder="1" applyProtection="1">
      <protection hidden="1"/>
    </xf>
    <xf numFmtId="167" fontId="5" fillId="2" borderId="6" xfId="1" applyNumberFormat="1" applyFont="1" applyFill="1" applyBorder="1" applyProtection="1">
      <protection hidden="1"/>
    </xf>
    <xf numFmtId="0" fontId="5" fillId="2" borderId="6" xfId="0" applyFont="1" applyFill="1" applyBorder="1" applyProtection="1">
      <protection hidden="1"/>
    </xf>
    <xf numFmtId="2" fontId="5" fillId="2" borderId="6" xfId="0" applyNumberFormat="1" applyFont="1" applyFill="1" applyBorder="1" applyProtection="1">
      <protection hidden="1"/>
    </xf>
    <xf numFmtId="166" fontId="5" fillId="2" borderId="15" xfId="0" applyNumberFormat="1" applyFont="1" applyFill="1" applyBorder="1" applyProtection="1">
      <protection hidden="1"/>
    </xf>
    <xf numFmtId="49" fontId="32" fillId="2" borderId="22" xfId="0" applyNumberFormat="1" applyFont="1" applyFill="1" applyBorder="1" applyProtection="1">
      <protection hidden="1"/>
    </xf>
    <xf numFmtId="0" fontId="32" fillId="2" borderId="23" xfId="0" applyFont="1" applyFill="1" applyBorder="1" applyAlignment="1" applyProtection="1">
      <alignment wrapText="1"/>
      <protection hidden="1"/>
    </xf>
    <xf numFmtId="49" fontId="34" fillId="2" borderId="22" xfId="0" applyNumberFormat="1" applyFont="1" applyFill="1" applyBorder="1" applyProtection="1">
      <protection hidden="1"/>
    </xf>
    <xf numFmtId="0" fontId="34" fillId="2" borderId="23" xfId="0" applyFont="1" applyFill="1" applyBorder="1" applyAlignment="1" applyProtection="1">
      <alignment wrapText="1"/>
      <protection hidden="1"/>
    </xf>
    <xf numFmtId="164" fontId="34" fillId="2" borderId="24" xfId="1" applyFont="1" applyFill="1" applyBorder="1" applyProtection="1">
      <protection hidden="1"/>
    </xf>
    <xf numFmtId="164" fontId="34" fillId="6" borderId="24" xfId="1" applyFont="1" applyFill="1" applyBorder="1" applyProtection="1">
      <protection hidden="1"/>
    </xf>
    <xf numFmtId="164" fontId="34" fillId="6" borderId="24" xfId="1" applyFont="1" applyFill="1" applyBorder="1" applyAlignment="1" applyProtection="1">
      <alignment horizontal="center"/>
      <protection hidden="1"/>
    </xf>
    <xf numFmtId="0" fontId="35" fillId="2" borderId="0" xfId="0" applyFont="1" applyFill="1" applyProtection="1">
      <protection hidden="1"/>
    </xf>
    <xf numFmtId="164" fontId="36" fillId="2" borderId="20" xfId="1" applyFont="1" applyFill="1" applyBorder="1" applyProtection="1">
      <protection hidden="1"/>
    </xf>
    <xf numFmtId="49" fontId="13" fillId="0" borderId="9" xfId="0" applyNumberFormat="1" applyFont="1" applyBorder="1" applyProtection="1">
      <protection hidden="1"/>
    </xf>
    <xf numFmtId="0" fontId="7" fillId="0" borderId="20" xfId="0" applyFont="1" applyBorder="1" applyAlignment="1" applyProtection="1">
      <alignment wrapText="1"/>
      <protection hidden="1"/>
    </xf>
    <xf numFmtId="167" fontId="2" fillId="3" borderId="3" xfId="1" applyNumberFormat="1" applyFont="1" applyFill="1" applyBorder="1" applyAlignment="1" applyProtection="1">
      <protection hidden="1"/>
    </xf>
    <xf numFmtId="167" fontId="6" fillId="3" borderId="6" xfId="1" applyNumberFormat="1" applyFont="1" applyFill="1" applyBorder="1" applyAlignment="1" applyProtection="1">
      <protection hidden="1"/>
    </xf>
    <xf numFmtId="167" fontId="21" fillId="2" borderId="24" xfId="1" applyNumberFormat="1" applyFont="1" applyFill="1" applyBorder="1" applyProtection="1">
      <protection hidden="1"/>
    </xf>
    <xf numFmtId="167" fontId="34" fillId="2" borderId="24" xfId="1" applyNumberFormat="1" applyFont="1" applyFill="1" applyBorder="1" applyProtection="1">
      <protection hidden="1"/>
    </xf>
    <xf numFmtId="167" fontId="20" fillId="2" borderId="0" xfId="1" applyNumberFormat="1" applyFont="1" applyFill="1" applyBorder="1" applyAlignment="1" applyProtection="1">
      <alignment wrapText="1"/>
      <protection hidden="1"/>
    </xf>
    <xf numFmtId="167" fontId="20" fillId="4" borderId="0" xfId="1" applyNumberFormat="1" applyFont="1" applyFill="1" applyBorder="1" applyAlignment="1" applyProtection="1">
      <alignment wrapText="1"/>
      <protection hidden="1"/>
    </xf>
    <xf numFmtId="164" fontId="26" fillId="0" borderId="24" xfId="1" applyFont="1" applyFill="1" applyBorder="1" applyProtection="1">
      <protection hidden="1"/>
    </xf>
    <xf numFmtId="0" fontId="8" fillId="4" borderId="25" xfId="1" applyNumberFormat="1" applyFont="1" applyFill="1" applyBorder="1" applyAlignment="1" applyProtection="1">
      <alignment horizontal="center" wrapText="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Font="1" applyFill="1" applyBorder="1" applyProtection="1">
      <protection hidden="1"/>
    </xf>
    <xf numFmtId="164" fontId="5" fillId="2" borderId="28" xfId="1" applyFont="1" applyFill="1" applyBorder="1" applyProtection="1">
      <protection hidden="1"/>
    </xf>
    <xf numFmtId="166" fontId="5" fillId="2" borderId="28" xfId="0" applyNumberFormat="1" applyFont="1" applyFill="1" applyBorder="1" applyProtection="1">
      <protection hidden="1"/>
    </xf>
    <xf numFmtId="167" fontId="3" fillId="6" borderId="28" xfId="1" applyNumberFormat="1" applyFont="1" applyFill="1" applyBorder="1" applyProtection="1">
      <protection hidden="1"/>
    </xf>
    <xf numFmtId="164" fontId="11" fillId="2" borderId="28" xfId="1" applyFont="1" applyFill="1" applyBorder="1" applyProtection="1">
      <protection hidden="1"/>
    </xf>
    <xf numFmtId="167" fontId="5" fillId="2" borderId="28" xfId="1" applyNumberFormat="1" applyFont="1" applyFill="1" applyBorder="1" applyProtection="1">
      <protection hidden="1"/>
    </xf>
    <xf numFmtId="9" fontId="11" fillId="6" borderId="28" xfId="0" applyNumberFormat="1" applyFont="1" applyFill="1" applyBorder="1" applyProtection="1">
      <protection hidden="1"/>
    </xf>
    <xf numFmtId="0" fontId="11" fillId="6" borderId="28" xfId="0" applyFont="1" applyFill="1" applyBorder="1" applyProtection="1">
      <protection hidden="1"/>
    </xf>
    <xf numFmtId="164" fontId="3" fillId="2" borderId="28" xfId="1" applyFont="1" applyFill="1" applyBorder="1" applyProtection="1">
      <protection hidden="1"/>
    </xf>
    <xf numFmtId="164" fontId="3" fillId="6" borderId="28" xfId="1" applyFont="1" applyFill="1" applyBorder="1" applyProtection="1">
      <protection hidden="1"/>
    </xf>
    <xf numFmtId="0" fontId="5" fillId="2" borderId="28" xfId="0" applyFont="1" applyFill="1" applyBorder="1" applyProtection="1">
      <protection hidden="1"/>
    </xf>
    <xf numFmtId="164" fontId="7" fillId="2" borderId="28" xfId="1" applyFont="1" applyFill="1" applyBorder="1" applyProtection="1">
      <protection hidden="1"/>
    </xf>
    <xf numFmtId="167" fontId="3" fillId="2" borderId="28" xfId="1" applyNumberFormat="1" applyFont="1" applyFill="1" applyBorder="1" applyProtection="1">
      <protection hidden="1"/>
    </xf>
    <xf numFmtId="49" fontId="27" fillId="2" borderId="9" xfId="0" applyNumberFormat="1" applyFont="1" applyFill="1" applyBorder="1" applyProtection="1">
      <protection hidden="1"/>
    </xf>
    <xf numFmtId="49" fontId="27" fillId="2" borderId="17" xfId="0" applyNumberFormat="1" applyFont="1" applyFill="1" applyBorder="1" applyAlignment="1" applyProtection="1">
      <alignment wrapText="1"/>
      <protection hidden="1"/>
    </xf>
    <xf numFmtId="164" fontId="36" fillId="0" borderId="20" xfId="1" applyFont="1" applyFill="1" applyBorder="1" applyProtection="1">
      <protection hidden="1"/>
    </xf>
    <xf numFmtId="166" fontId="36" fillId="0" borderId="20" xfId="0" applyNumberFormat="1" applyFont="1" applyBorder="1" applyProtection="1">
      <protection hidden="1"/>
    </xf>
    <xf numFmtId="164" fontId="36" fillId="6" borderId="20" xfId="0" applyNumberFormat="1" applyFont="1" applyFill="1" applyBorder="1" applyProtection="1">
      <protection hidden="1"/>
    </xf>
    <xf numFmtId="167" fontId="36" fillId="0" borderId="20" xfId="1" applyNumberFormat="1" applyFont="1" applyFill="1" applyBorder="1" applyProtection="1">
      <protection hidden="1"/>
    </xf>
    <xf numFmtId="164" fontId="36" fillId="6" borderId="20" xfId="1" applyFont="1" applyFill="1" applyBorder="1" applyProtection="1">
      <protection hidden="1"/>
    </xf>
    <xf numFmtId="0" fontId="23" fillId="7" borderId="1" xfId="0" applyFont="1" applyFill="1" applyBorder="1" applyProtection="1">
      <protection hidden="1"/>
    </xf>
    <xf numFmtId="0" fontId="23" fillId="7" borderId="1" xfId="0" applyFont="1" applyFill="1" applyBorder="1" applyAlignment="1" applyProtection="1">
      <alignment horizontal="center"/>
      <protection hidden="1"/>
    </xf>
    <xf numFmtId="167" fontId="24" fillId="7" borderId="1" xfId="1" applyNumberFormat="1" applyFont="1" applyFill="1" applyBorder="1" applyAlignment="1" applyProtection="1">
      <alignment horizontal="center"/>
      <protection hidden="1"/>
    </xf>
    <xf numFmtId="167" fontId="24" fillId="7" borderId="1" xfId="1" applyNumberFormat="1" applyFont="1" applyFill="1" applyBorder="1" applyProtection="1">
      <protection hidden="1"/>
    </xf>
    <xf numFmtId="167" fontId="24" fillId="7" borderId="1" xfId="1" applyNumberFormat="1" applyFont="1" applyFill="1" applyBorder="1" applyAlignment="1" applyProtection="1">
      <alignment horizontal="center" wrapText="1"/>
      <protection hidden="1"/>
    </xf>
    <xf numFmtId="167" fontId="24" fillId="0" borderId="1" xfId="1" applyNumberFormat="1" applyFont="1" applyFill="1" applyBorder="1" applyAlignment="1" applyProtection="1">
      <alignment horizontal="center"/>
      <protection hidden="1"/>
    </xf>
    <xf numFmtId="167" fontId="24" fillId="0" borderId="1" xfId="1" applyNumberFormat="1" applyFont="1" applyFill="1" applyBorder="1" applyProtection="1">
      <protection hidden="1"/>
    </xf>
    <xf numFmtId="167" fontId="24" fillId="0" borderId="1" xfId="1" applyNumberFormat="1" applyFont="1" applyFill="1" applyBorder="1" applyAlignment="1" applyProtection="1">
      <alignment horizontal="center" wrapText="1"/>
      <protection hidden="1"/>
    </xf>
    <xf numFmtId="0" fontId="23" fillId="7" borderId="1" xfId="0" applyFont="1" applyFill="1" applyBorder="1" applyAlignment="1" applyProtection="1">
      <alignment wrapText="1"/>
      <protection hidden="1"/>
    </xf>
    <xf numFmtId="0" fontId="24" fillId="7" borderId="1" xfId="0" applyFont="1" applyFill="1" applyBorder="1" applyAlignment="1" applyProtection="1">
      <alignment horizontal="center"/>
      <protection hidden="1"/>
    </xf>
    <xf numFmtId="167" fontId="25" fillId="7" borderId="1" xfId="1" applyNumberFormat="1" applyFont="1" applyFill="1" applyBorder="1" applyProtection="1">
      <protection hidden="1"/>
    </xf>
    <xf numFmtId="167" fontId="25" fillId="0" borderId="1" xfId="1" applyNumberFormat="1" applyFont="1" applyFill="1" applyBorder="1" applyProtection="1">
      <protection hidden="1"/>
    </xf>
    <xf numFmtId="167" fontId="24" fillId="0" borderId="0" xfId="1" applyNumberFormat="1" applyFont="1" applyFill="1" applyAlignment="1" applyProtection="1">
      <alignment horizontal="center"/>
      <protection hidden="1"/>
    </xf>
    <xf numFmtId="164" fontId="39" fillId="2" borderId="20" xfId="1" applyFont="1" applyFill="1" applyBorder="1" applyProtection="1">
      <protection hidden="1"/>
    </xf>
    <xf numFmtId="0" fontId="23" fillId="8" borderId="1" xfId="0" applyFont="1" applyFill="1" applyBorder="1" applyProtection="1">
      <protection hidden="1"/>
    </xf>
    <xf numFmtId="0" fontId="23" fillId="8" borderId="1" xfId="0" applyFont="1" applyFill="1" applyBorder="1" applyAlignment="1" applyProtection="1">
      <alignment horizontal="center"/>
      <protection hidden="1"/>
    </xf>
    <xf numFmtId="0" fontId="24" fillId="8" borderId="1" xfId="0" applyFont="1" applyFill="1" applyBorder="1" applyAlignment="1" applyProtection="1">
      <alignment horizontal="center"/>
      <protection hidden="1"/>
    </xf>
    <xf numFmtId="167" fontId="25" fillId="8" borderId="1" xfId="1" applyNumberFormat="1" applyFont="1" applyFill="1" applyBorder="1" applyProtection="1">
      <protection hidden="1"/>
    </xf>
    <xf numFmtId="0" fontId="23" fillId="8" borderId="0" xfId="0" applyFont="1" applyFill="1" applyProtection="1">
      <protection hidden="1"/>
    </xf>
    <xf numFmtId="0" fontId="23" fillId="8" borderId="0" xfId="0" applyFont="1" applyFill="1" applyAlignment="1" applyProtection="1">
      <alignment horizontal="center"/>
      <protection hidden="1"/>
    </xf>
    <xf numFmtId="0" fontId="24" fillId="8" borderId="0" xfId="0" applyFont="1" applyFill="1" applyAlignment="1" applyProtection="1">
      <alignment horizontal="center"/>
      <protection hidden="1"/>
    </xf>
    <xf numFmtId="167" fontId="24" fillId="8" borderId="0" xfId="1" applyNumberFormat="1" applyFont="1" applyFill="1" applyAlignment="1" applyProtection="1">
      <alignment horizontal="center"/>
      <protection hidden="1"/>
    </xf>
    <xf numFmtId="0" fontId="23" fillId="0" borderId="0" xfId="0" applyFont="1" applyProtection="1">
      <protection hidden="1"/>
    </xf>
    <xf numFmtId="0" fontId="23" fillId="0" borderId="0" xfId="0" applyFont="1" applyAlignment="1" applyProtection="1">
      <alignment wrapText="1"/>
      <protection hidden="1"/>
    </xf>
    <xf numFmtId="0" fontId="24" fillId="0" borderId="0" xfId="0" applyFont="1" applyProtection="1">
      <protection hidden="1"/>
    </xf>
    <xf numFmtId="0" fontId="23" fillId="0" borderId="1" xfId="0" applyFont="1" applyBorder="1" applyProtection="1">
      <protection hidden="1"/>
    </xf>
    <xf numFmtId="0" fontId="23" fillId="0" borderId="1" xfId="0" applyFont="1" applyBorder="1" applyAlignment="1" applyProtection="1">
      <alignment horizontal="center"/>
      <protection hidden="1"/>
    </xf>
    <xf numFmtId="0" fontId="23" fillId="0" borderId="1" xfId="0" applyFont="1" applyBorder="1" applyAlignment="1" applyProtection="1">
      <alignment wrapText="1"/>
      <protection hidden="1"/>
    </xf>
    <xf numFmtId="167" fontId="25" fillId="7" borderId="1" xfId="1" applyNumberFormat="1" applyFont="1" applyFill="1" applyBorder="1" applyAlignment="1" applyProtection="1">
      <alignment wrapText="1"/>
      <protection hidden="1"/>
    </xf>
    <xf numFmtId="0" fontId="24" fillId="0" borderId="1" xfId="0" applyFont="1" applyBorder="1" applyAlignment="1" applyProtection="1">
      <alignment horizontal="center"/>
      <protection hidden="1"/>
    </xf>
    <xf numFmtId="167" fontId="37" fillId="9" borderId="1" xfId="1" applyNumberFormat="1" applyFont="1" applyFill="1" applyBorder="1" applyAlignment="1" applyProtection="1">
      <alignment wrapText="1"/>
      <protection hidden="1"/>
    </xf>
    <xf numFmtId="167" fontId="24" fillId="8" borderId="1" xfId="1" applyNumberFormat="1" applyFont="1" applyFill="1" applyBorder="1" applyProtection="1">
      <protection hidden="1"/>
    </xf>
    <xf numFmtId="167" fontId="25" fillId="8" borderId="1" xfId="1" applyNumberFormat="1" applyFont="1" applyFill="1" applyBorder="1" applyAlignment="1" applyProtection="1">
      <alignment wrapText="1"/>
      <protection hidden="1"/>
    </xf>
    <xf numFmtId="167" fontId="24" fillId="8" borderId="0" xfId="1" applyNumberFormat="1" applyFont="1" applyFill="1" applyProtection="1">
      <protection hidden="1"/>
    </xf>
    <xf numFmtId="167" fontId="24" fillId="8" borderId="0" xfId="1" applyNumberFormat="1" applyFont="1" applyFill="1" applyAlignment="1" applyProtection="1">
      <alignment horizontal="center" wrapText="1"/>
      <protection hidden="1"/>
    </xf>
    <xf numFmtId="0" fontId="23" fillId="0" borderId="0" xfId="0" applyFont="1" applyAlignment="1" applyProtection="1">
      <alignment horizontal="center"/>
      <protection hidden="1"/>
    </xf>
    <xf numFmtId="0" fontId="24" fillId="0" borderId="0" xfId="0" applyFont="1" applyAlignment="1" applyProtection="1">
      <alignment horizontal="center"/>
      <protection hidden="1"/>
    </xf>
    <xf numFmtId="167" fontId="24" fillId="0" borderId="0" xfId="1" applyNumberFormat="1" applyFont="1" applyFill="1" applyProtection="1">
      <protection hidden="1"/>
    </xf>
    <xf numFmtId="167" fontId="24" fillId="0" borderId="0" xfId="1" applyNumberFormat="1" applyFont="1" applyFill="1" applyAlignment="1" applyProtection="1">
      <alignment horizontal="center" wrapText="1"/>
      <protection hidden="1"/>
    </xf>
    <xf numFmtId="0" fontId="27" fillId="2" borderId="17" xfId="0" applyFont="1" applyFill="1" applyBorder="1" applyProtection="1">
      <protection hidden="1"/>
    </xf>
    <xf numFmtId="0" fontId="27" fillId="2" borderId="20" xfId="1" applyNumberFormat="1" applyFont="1" applyFill="1" applyBorder="1" applyProtection="1">
      <protection hidden="1"/>
    </xf>
    <xf numFmtId="164" fontId="27" fillId="2" borderId="20" xfId="1" applyFont="1" applyFill="1" applyBorder="1" applyProtection="1">
      <protection hidden="1"/>
    </xf>
    <xf numFmtId="166" fontId="27" fillId="0" borderId="20" xfId="0" applyNumberFormat="1" applyFont="1" applyBorder="1" applyProtection="1">
      <protection hidden="1"/>
    </xf>
    <xf numFmtId="164" fontId="27" fillId="0" borderId="20" xfId="1" applyFont="1" applyFill="1" applyBorder="1" applyProtection="1">
      <protection hidden="1"/>
    </xf>
    <xf numFmtId="166" fontId="27" fillId="2" borderId="20" xfId="0" applyNumberFormat="1" applyFont="1" applyFill="1" applyBorder="1" applyProtection="1">
      <protection hidden="1"/>
    </xf>
    <xf numFmtId="164" fontId="27" fillId="6" borderId="20" xfId="0" applyNumberFormat="1" applyFont="1" applyFill="1" applyBorder="1" applyProtection="1">
      <protection hidden="1"/>
    </xf>
    <xf numFmtId="167" fontId="27" fillId="2" borderId="20" xfId="1" applyNumberFormat="1" applyFont="1" applyFill="1" applyBorder="1" applyProtection="1">
      <protection hidden="1"/>
    </xf>
    <xf numFmtId="164" fontId="27" fillId="6" borderId="20" xfId="1" applyFont="1" applyFill="1" applyBorder="1" applyProtection="1">
      <protection hidden="1"/>
    </xf>
    <xf numFmtId="167" fontId="27" fillId="0" borderId="20" xfId="1" applyNumberFormat="1" applyFont="1" applyFill="1" applyBorder="1" applyProtection="1">
      <protection hidden="1"/>
    </xf>
    <xf numFmtId="0" fontId="42" fillId="2" borderId="0" xfId="0" applyFont="1" applyFill="1" applyProtection="1">
      <protection hidden="1"/>
    </xf>
    <xf numFmtId="0" fontId="17" fillId="2" borderId="13" xfId="0" applyFont="1" applyFill="1" applyBorder="1" applyProtection="1">
      <protection hidden="1"/>
    </xf>
    <xf numFmtId="0" fontId="20" fillId="2" borderId="7" xfId="0" applyFont="1" applyFill="1" applyBorder="1" applyProtection="1">
      <protection hidden="1"/>
    </xf>
    <xf numFmtId="0" fontId="20" fillId="2" borderId="0" xfId="0" applyFont="1" applyFill="1" applyProtection="1">
      <protection hidden="1"/>
    </xf>
    <xf numFmtId="0" fontId="20" fillId="2" borderId="0" xfId="0" applyFont="1" applyFill="1" applyAlignment="1" applyProtection="1">
      <alignment wrapText="1"/>
      <protection hidden="1"/>
    </xf>
    <xf numFmtId="0" fontId="20" fillId="2" borderId="0" xfId="0" applyFont="1" applyFill="1" applyAlignment="1" applyProtection="1">
      <alignment horizontal="left" wrapText="1"/>
      <protection hidden="1"/>
    </xf>
    <xf numFmtId="0" fontId="3" fillId="2" borderId="0" xfId="0" applyFont="1" applyFill="1" applyAlignment="1" applyProtection="1">
      <alignment wrapText="1"/>
      <protection hidden="1"/>
    </xf>
    <xf numFmtId="0" fontId="38" fillId="2" borderId="7" xfId="0" applyFont="1" applyFill="1" applyBorder="1" applyProtection="1">
      <protection hidden="1"/>
    </xf>
    <xf numFmtId="0" fontId="18" fillId="2" borderId="7" xfId="0" applyFont="1" applyFill="1" applyBorder="1" applyProtection="1">
      <protection hidden="1"/>
    </xf>
    <xf numFmtId="0" fontId="19" fillId="2" borderId="0" xfId="0" applyFont="1" applyFill="1" applyAlignment="1" applyProtection="1">
      <alignment wrapText="1"/>
      <protection hidden="1"/>
    </xf>
    <xf numFmtId="0" fontId="28" fillId="2" borderId="7" xfId="0" applyFont="1" applyFill="1" applyBorder="1" applyProtection="1">
      <protection hidden="1"/>
    </xf>
    <xf numFmtId="0" fontId="29" fillId="2" borderId="7" xfId="0" applyFont="1" applyFill="1" applyBorder="1" applyProtection="1">
      <protection hidden="1"/>
    </xf>
    <xf numFmtId="0" fontId="30" fillId="2" borderId="0" xfId="0" applyFont="1" applyFill="1" applyAlignment="1" applyProtection="1">
      <alignment wrapText="1"/>
      <protection hidden="1"/>
    </xf>
    <xf numFmtId="0" fontId="31" fillId="2" borderId="7" xfId="0" applyFont="1" applyFill="1" applyBorder="1" applyProtection="1">
      <protection hidden="1"/>
    </xf>
    <xf numFmtId="0" fontId="20" fillId="4" borderId="7" xfId="0" applyFont="1" applyFill="1" applyBorder="1" applyProtection="1">
      <protection hidden="1"/>
    </xf>
    <xf numFmtId="0" fontId="20" fillId="4" borderId="0" xfId="0" applyFont="1" applyFill="1" applyAlignment="1" applyProtection="1">
      <alignment wrapText="1"/>
      <protection hidden="1"/>
    </xf>
    <xf numFmtId="164" fontId="20" fillId="4" borderId="0" xfId="0" applyNumberFormat="1" applyFont="1" applyFill="1" applyAlignment="1" applyProtection="1">
      <alignment wrapText="1"/>
      <protection hidden="1"/>
    </xf>
    <xf numFmtId="0" fontId="27" fillId="2" borderId="17" xfId="0" applyFont="1" applyFill="1" applyBorder="1" applyAlignment="1" applyProtection="1">
      <alignment horizontal="left" wrapText="1"/>
      <protection hidden="1"/>
    </xf>
    <xf numFmtId="0" fontId="7" fillId="2" borderId="17" xfId="0" applyFont="1" applyFill="1" applyBorder="1" applyAlignment="1" applyProtection="1">
      <alignment horizontal="left" wrapText="1"/>
      <protection hidden="1"/>
    </xf>
    <xf numFmtId="168" fontId="24" fillId="0" borderId="1" xfId="1" applyNumberFormat="1" applyFont="1" applyBorder="1" applyAlignment="1" applyProtection="1">
      <alignment horizontal="center"/>
      <protection hidden="1"/>
    </xf>
    <xf numFmtId="0" fontId="43" fillId="2" borderId="7" xfId="0" applyFont="1" applyFill="1" applyBorder="1" applyProtection="1">
      <protection hidden="1"/>
    </xf>
    <xf numFmtId="0" fontId="44" fillId="0" borderId="0" xfId="0" applyFont="1"/>
    <xf numFmtId="0" fontId="45" fillId="2" borderId="0" xfId="0" applyFont="1" applyFill="1"/>
    <xf numFmtId="0" fontId="44" fillId="2" borderId="0" xfId="0" applyFont="1" applyFill="1" applyAlignment="1">
      <alignment vertical="center"/>
    </xf>
    <xf numFmtId="0" fontId="45" fillId="0" borderId="0" xfId="0" applyFont="1"/>
    <xf numFmtId="0" fontId="46" fillId="0" borderId="0" xfId="0" applyFont="1"/>
    <xf numFmtId="0" fontId="30" fillId="2" borderId="0" xfId="0" applyFont="1" applyFill="1" applyProtection="1">
      <protection hidden="1"/>
    </xf>
    <xf numFmtId="0" fontId="45" fillId="0" borderId="0" xfId="0" applyFont="1" applyAlignment="1">
      <alignment vertical="center"/>
    </xf>
    <xf numFmtId="0" fontId="47" fillId="2" borderId="7" xfId="0" applyFont="1" applyFill="1" applyBorder="1" applyProtection="1">
      <protection hidden="1"/>
    </xf>
    <xf numFmtId="0" fontId="26" fillId="2" borderId="0" xfId="0" applyFont="1" applyFill="1" applyAlignment="1" applyProtection="1">
      <alignment wrapText="1"/>
      <protection hidden="1"/>
    </xf>
    <xf numFmtId="164" fontId="26" fillId="2" borderId="0" xfId="1" applyFont="1" applyFill="1" applyBorder="1" applyAlignment="1" applyProtection="1">
      <alignment wrapText="1"/>
      <protection hidden="1"/>
    </xf>
    <xf numFmtId="167" fontId="26" fillId="2" borderId="0" xfId="1" applyNumberFormat="1" applyFont="1" applyFill="1" applyBorder="1" applyAlignment="1" applyProtection="1">
      <alignment wrapText="1"/>
      <protection hidden="1"/>
    </xf>
    <xf numFmtId="167" fontId="26" fillId="2" borderId="5" xfId="1" applyNumberFormat="1" applyFont="1" applyFill="1" applyBorder="1" applyAlignment="1" applyProtection="1">
      <alignment wrapText="1"/>
      <protection hidden="1"/>
    </xf>
    <xf numFmtId="0" fontId="26" fillId="2" borderId="0" xfId="0" applyFont="1" applyFill="1" applyProtection="1">
      <protection hidden="1"/>
    </xf>
    <xf numFmtId="0" fontId="48" fillId="2" borderId="7" xfId="0" applyFont="1" applyFill="1" applyBorder="1" applyProtection="1">
      <protection hidden="1"/>
    </xf>
    <xf numFmtId="0" fontId="19" fillId="2" borderId="0" xfId="0" applyFont="1" applyFill="1" applyProtection="1">
      <protection hidden="1"/>
    </xf>
    <xf numFmtId="49" fontId="49" fillId="10" borderId="7" xfId="0" applyNumberFormat="1" applyFont="1" applyFill="1" applyBorder="1" applyProtection="1">
      <protection hidden="1"/>
    </xf>
    <xf numFmtId="0" fontId="50" fillId="10" borderId="0" xfId="0" applyFont="1" applyFill="1" applyProtection="1">
      <protection hidden="1"/>
    </xf>
    <xf numFmtId="167" fontId="50" fillId="10" borderId="0" xfId="1" applyNumberFormat="1" applyFont="1" applyFill="1" applyBorder="1" applyProtection="1">
      <protection hidden="1"/>
    </xf>
    <xf numFmtId="164" fontId="50" fillId="10" borderId="0" xfId="1" applyFont="1" applyFill="1" applyBorder="1" applyProtection="1">
      <protection hidden="1"/>
    </xf>
    <xf numFmtId="167" fontId="49" fillId="10" borderId="0" xfId="1" applyNumberFormat="1" applyFont="1" applyFill="1" applyBorder="1" applyProtection="1">
      <protection hidden="1"/>
    </xf>
    <xf numFmtId="169" fontId="50" fillId="10" borderId="0" xfId="0" applyNumberFormat="1" applyFont="1" applyFill="1" applyProtection="1">
      <protection hidden="1"/>
    </xf>
    <xf numFmtId="167" fontId="50" fillId="10" borderId="0" xfId="0" applyNumberFormat="1" applyFont="1" applyFill="1" applyProtection="1">
      <protection hidden="1"/>
    </xf>
    <xf numFmtId="164" fontId="49" fillId="10" borderId="0" xfId="1" applyFont="1" applyFill="1" applyBorder="1" applyProtection="1">
      <protection hidden="1"/>
    </xf>
    <xf numFmtId="167" fontId="49" fillId="10" borderId="5" xfId="1" applyNumberFormat="1" applyFont="1" applyFill="1" applyBorder="1" applyProtection="1">
      <protection hidden="1"/>
    </xf>
    <xf numFmtId="168" fontId="24" fillId="7" borderId="1" xfId="1" applyNumberFormat="1" applyFont="1" applyFill="1" applyBorder="1" applyAlignment="1" applyProtection="1">
      <alignment horizontal="center"/>
      <protection hidden="1"/>
    </xf>
    <xf numFmtId="168" fontId="24" fillId="0" borderId="1" xfId="1" applyNumberFormat="1" applyFont="1" applyFill="1" applyBorder="1" applyAlignment="1" applyProtection="1">
      <alignment horizontal="center"/>
      <protection hidden="1"/>
    </xf>
    <xf numFmtId="164" fontId="20" fillId="2" borderId="0" xfId="1" applyFont="1" applyFill="1" applyAlignment="1" applyProtection="1">
      <alignment wrapText="1"/>
      <protection hidden="1"/>
    </xf>
    <xf numFmtId="164" fontId="20" fillId="4" borderId="0" xfId="1" applyFont="1" applyFill="1" applyAlignment="1" applyProtection="1">
      <alignment wrapText="1"/>
      <protection hidden="1"/>
    </xf>
    <xf numFmtId="0" fontId="51" fillId="9" borderId="13" xfId="0" applyFont="1" applyFill="1" applyBorder="1" applyProtection="1">
      <protection hidden="1"/>
    </xf>
    <xf numFmtId="0" fontId="50" fillId="9" borderId="11" xfId="0" applyFont="1" applyFill="1" applyBorder="1" applyAlignment="1" applyProtection="1">
      <alignment wrapText="1"/>
      <protection hidden="1"/>
    </xf>
    <xf numFmtId="0" fontId="50" fillId="9" borderId="11" xfId="1" applyNumberFormat="1" applyFont="1" applyFill="1" applyBorder="1" applyAlignment="1" applyProtection="1">
      <alignment wrapText="1"/>
      <protection hidden="1"/>
    </xf>
    <xf numFmtId="164" fontId="50" fillId="9" borderId="11" xfId="1" applyFont="1" applyFill="1" applyBorder="1" applyAlignment="1" applyProtection="1">
      <alignment wrapText="1"/>
      <protection hidden="1"/>
    </xf>
    <xf numFmtId="167" fontId="50" fillId="9" borderId="11" xfId="1" applyNumberFormat="1" applyFont="1" applyFill="1" applyBorder="1" applyAlignment="1" applyProtection="1">
      <alignment wrapText="1"/>
      <protection hidden="1"/>
    </xf>
    <xf numFmtId="167" fontId="50" fillId="9" borderId="12" xfId="1" applyNumberFormat="1" applyFont="1" applyFill="1" applyBorder="1" applyAlignment="1" applyProtection="1">
      <alignment wrapText="1"/>
      <protection hidden="1"/>
    </xf>
    <xf numFmtId="0" fontId="52" fillId="9" borderId="7" xfId="0" applyFont="1" applyFill="1" applyBorder="1" applyProtection="1">
      <protection hidden="1"/>
    </xf>
    <xf numFmtId="0" fontId="52" fillId="9" borderId="0" xfId="0" applyFont="1" applyFill="1" applyAlignment="1" applyProtection="1">
      <alignment wrapText="1"/>
      <protection hidden="1"/>
    </xf>
    <xf numFmtId="164" fontId="52" fillId="9" borderId="0" xfId="1" applyFont="1" applyFill="1" applyBorder="1" applyAlignment="1" applyProtection="1">
      <alignment wrapText="1"/>
      <protection hidden="1"/>
    </xf>
    <xf numFmtId="164" fontId="52" fillId="9" borderId="0" xfId="0" applyNumberFormat="1" applyFont="1" applyFill="1" applyAlignment="1" applyProtection="1">
      <alignment wrapText="1"/>
      <protection hidden="1"/>
    </xf>
    <xf numFmtId="164" fontId="52" fillId="9" borderId="0" xfId="1" applyFont="1" applyFill="1" applyAlignment="1" applyProtection="1">
      <alignment wrapText="1"/>
      <protection hidden="1"/>
    </xf>
    <xf numFmtId="167" fontId="52" fillId="9" borderId="0" xfId="1" applyNumberFormat="1" applyFont="1" applyFill="1" applyBorder="1" applyAlignment="1" applyProtection="1">
      <alignment wrapText="1"/>
      <protection hidden="1"/>
    </xf>
    <xf numFmtId="0" fontId="52" fillId="9" borderId="5" xfId="0" applyFont="1" applyFill="1" applyBorder="1" applyAlignment="1" applyProtection="1">
      <alignment wrapText="1"/>
      <protection hidden="1"/>
    </xf>
    <xf numFmtId="0" fontId="50" fillId="9" borderId="7" xfId="0" applyFont="1" applyFill="1" applyBorder="1" applyProtection="1">
      <protection hidden="1"/>
    </xf>
    <xf numFmtId="0" fontId="50" fillId="9" borderId="0" xfId="0" applyFont="1" applyFill="1" applyAlignment="1" applyProtection="1">
      <alignment wrapText="1"/>
      <protection hidden="1"/>
    </xf>
    <xf numFmtId="0" fontId="50" fillId="9" borderId="0" xfId="1" applyNumberFormat="1" applyFont="1" applyFill="1" applyBorder="1" applyAlignment="1" applyProtection="1">
      <alignment wrapText="1"/>
      <protection hidden="1"/>
    </xf>
    <xf numFmtId="164" fontId="50" fillId="9" borderId="0" xfId="1" applyFont="1" applyFill="1" applyBorder="1" applyAlignment="1" applyProtection="1">
      <alignment wrapText="1"/>
      <protection hidden="1"/>
    </xf>
    <xf numFmtId="167" fontId="50" fillId="9" borderId="0" xfId="1" applyNumberFormat="1" applyFont="1" applyFill="1" applyBorder="1" applyAlignment="1" applyProtection="1">
      <alignment wrapText="1"/>
      <protection hidden="1"/>
    </xf>
    <xf numFmtId="167" fontId="50" fillId="9" borderId="5" xfId="1" applyNumberFormat="1" applyFont="1" applyFill="1" applyBorder="1" applyAlignment="1" applyProtection="1">
      <alignment wrapText="1"/>
      <protection hidden="1"/>
    </xf>
    <xf numFmtId="0" fontId="37" fillId="11" borderId="1" xfId="0" applyFont="1" applyFill="1" applyBorder="1" applyProtection="1">
      <protection hidden="1"/>
    </xf>
    <xf numFmtId="0" fontId="37" fillId="11" borderId="1" xfId="0" applyFont="1" applyFill="1" applyBorder="1" applyAlignment="1" applyProtection="1">
      <alignment horizontal="center"/>
      <protection hidden="1"/>
    </xf>
    <xf numFmtId="0" fontId="37" fillId="11" borderId="1" xfId="0" quotePrefix="1" applyFont="1" applyFill="1" applyBorder="1" applyAlignment="1" applyProtection="1">
      <alignment horizontal="center"/>
      <protection hidden="1"/>
    </xf>
    <xf numFmtId="167" fontId="37" fillId="11" borderId="1" xfId="1" applyNumberFormat="1" applyFont="1" applyFill="1" applyBorder="1" applyAlignment="1" applyProtection="1">
      <alignment horizontal="center" wrapText="1"/>
      <protection hidden="1"/>
    </xf>
    <xf numFmtId="167" fontId="37" fillId="11" borderId="1" xfId="1" applyNumberFormat="1" applyFont="1" applyFill="1" applyBorder="1" applyAlignment="1" applyProtection="1">
      <alignment horizontal="center"/>
      <protection hidden="1"/>
    </xf>
    <xf numFmtId="0" fontId="37" fillId="11" borderId="1" xfId="0" applyFont="1" applyFill="1" applyBorder="1" applyAlignment="1" applyProtection="1">
      <alignment wrapText="1"/>
      <protection hidden="1"/>
    </xf>
    <xf numFmtId="0" fontId="37" fillId="11" borderId="1" xfId="0" applyFont="1" applyFill="1" applyBorder="1" applyAlignment="1" applyProtection="1">
      <alignment horizontal="center" wrapText="1"/>
      <protection hidden="1"/>
    </xf>
    <xf numFmtId="0" fontId="37" fillId="11" borderId="1" xfId="0" quotePrefix="1" applyFont="1" applyFill="1" applyBorder="1" applyAlignment="1" applyProtection="1">
      <alignment horizontal="center" wrapText="1"/>
      <protection hidden="1"/>
    </xf>
    <xf numFmtId="167" fontId="37" fillId="11" borderId="1" xfId="1" applyNumberFormat="1" applyFont="1" applyFill="1" applyBorder="1" applyAlignment="1" applyProtection="1">
      <alignment wrapText="1"/>
      <protection hidden="1"/>
    </xf>
    <xf numFmtId="167" fontId="37" fillId="11" borderId="1" xfId="1" applyNumberFormat="1" applyFont="1" applyFill="1" applyBorder="1" applyProtection="1">
      <protection hidden="1"/>
    </xf>
    <xf numFmtId="167" fontId="53" fillId="11" borderId="1" xfId="1" applyNumberFormat="1" applyFont="1" applyFill="1" applyBorder="1" applyAlignment="1" applyProtection="1">
      <alignment horizontal="center"/>
      <protection hidden="1"/>
    </xf>
    <xf numFmtId="0" fontId="6" fillId="0" borderId="14" xfId="0" applyFont="1" applyBorder="1" applyAlignment="1" applyProtection="1">
      <alignment horizontal="center"/>
      <protection hidden="1"/>
    </xf>
    <xf numFmtId="0" fontId="6" fillId="0" borderId="6" xfId="0" applyFont="1" applyBorder="1" applyAlignment="1" applyProtection="1">
      <alignment horizontal="center"/>
      <protection hidden="1"/>
    </xf>
    <xf numFmtId="0" fontId="6" fillId="0" borderId="15" xfId="0" applyFont="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6"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6"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Border="1" applyAlignment="1" applyProtection="1">
      <alignment horizontal="center"/>
      <protection hidden="1"/>
    </xf>
    <xf numFmtId="0" fontId="6" fillId="0" borderId="3" xfId="0" applyFont="1" applyBorder="1" applyAlignment="1" applyProtection="1">
      <alignment horizontal="center"/>
      <protection hidden="1"/>
    </xf>
    <xf numFmtId="0" fontId="6" fillId="0" borderId="4" xfId="0" applyFont="1" applyBorder="1" applyAlignment="1" applyProtection="1">
      <alignment horizontal="center"/>
      <protection hidden="1"/>
    </xf>
    <xf numFmtId="167" fontId="2" fillId="3" borderId="3" xfId="1" applyNumberFormat="1" applyFont="1" applyFill="1" applyBorder="1" applyProtection="1">
      <protection hidden="1"/>
    </xf>
    <xf numFmtId="167" fontId="6" fillId="3" borderId="6" xfId="1" applyNumberFormat="1" applyFont="1" applyFill="1" applyBorder="1" applyProtection="1">
      <protection hidden="1"/>
    </xf>
    <xf numFmtId="167" fontId="20" fillId="2" borderId="0" xfId="1" applyNumberFormat="1" applyFont="1" applyFill="1" applyAlignment="1" applyProtection="1">
      <alignment wrapText="1"/>
      <protection hidden="1"/>
    </xf>
    <xf numFmtId="167" fontId="52" fillId="9" borderId="0" xfId="1" applyNumberFormat="1" applyFont="1" applyFill="1" applyAlignment="1" applyProtection="1">
      <alignment wrapText="1"/>
      <protection hidden="1"/>
    </xf>
    <xf numFmtId="167" fontId="20" fillId="4" borderId="0" xfId="1" applyNumberFormat="1" applyFont="1" applyFill="1" applyAlignment="1" applyProtection="1">
      <alignment wrapText="1"/>
      <protection hidden="1"/>
    </xf>
    <xf numFmtId="167" fontId="5" fillId="2" borderId="0" xfId="1" applyNumberFormat="1" applyFont="1" applyFill="1" applyProtection="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8585" y="919952"/>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29"/>
  <sheetViews>
    <sheetView tabSelected="1" zoomScale="80" zoomScaleNormal="80" workbookViewId="0">
      <pane xSplit="3" ySplit="7" topLeftCell="D86"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4" bestFit="1" customWidth="1"/>
    <col min="2" max="2" width="62.7109375" style="4" customWidth="1"/>
    <col min="3" max="3" width="11.7109375" style="4" bestFit="1" customWidth="1"/>
    <col min="4" max="4" width="10.5703125" style="5" bestFit="1" customWidth="1"/>
    <col min="5" max="5" width="9.5703125" style="6" customWidth="1"/>
    <col min="6" max="6" width="9.5703125" style="5" customWidth="1"/>
    <col min="7" max="7" width="9.5703125" style="6" customWidth="1"/>
    <col min="8" max="8" width="9.5703125" style="5" customWidth="1"/>
    <col min="9" max="9" width="9.5703125" style="6" customWidth="1"/>
    <col min="10" max="16" width="10.5703125" style="6" bestFit="1" customWidth="1"/>
    <col min="17" max="17" width="9.5703125" style="5" customWidth="1"/>
    <col min="18" max="18" width="9.5703125" style="7" customWidth="1"/>
    <col min="19" max="20" width="10.5703125" style="6" bestFit="1" customWidth="1"/>
    <col min="21" max="21" width="9.5703125" style="5" customWidth="1"/>
    <col min="22" max="22" width="9.5703125" style="7" customWidth="1"/>
    <col min="23" max="23" width="9.5703125" style="5" customWidth="1"/>
    <col min="24" max="24" width="9.5703125" style="7" customWidth="1"/>
    <col min="25" max="25" width="10.28515625" style="9" customWidth="1"/>
    <col min="26" max="30" width="10.5703125" style="9" bestFit="1" customWidth="1"/>
    <col min="31" max="31" width="9.42578125" style="5" customWidth="1"/>
    <col min="32" max="32" width="7.85546875" style="5" bestFit="1" customWidth="1"/>
    <col min="33" max="34" width="10.5703125" style="5" bestFit="1" customWidth="1"/>
    <col min="35" max="35" width="10.5703125" style="5" hidden="1" customWidth="1"/>
    <col min="36" max="36" width="10.140625" style="5" customWidth="1"/>
    <col min="37" max="37" width="10.85546875" style="8" customWidth="1"/>
    <col min="38" max="38" width="10.5703125" style="5" bestFit="1" customWidth="1"/>
    <col min="39" max="39" width="10.5703125" style="8" customWidth="1"/>
    <col min="40" max="40" width="10.5703125" style="6" bestFit="1" customWidth="1"/>
    <col min="41" max="41" width="7.85546875" style="6" bestFit="1" customWidth="1"/>
    <col min="42" max="42" width="10.5703125" style="5" bestFit="1" customWidth="1"/>
    <col min="43" max="43" width="10.28515625" style="5" customWidth="1"/>
    <col min="44" max="44" width="7.85546875" style="8" bestFit="1" customWidth="1"/>
    <col min="45" max="45" width="10.5703125" style="5" bestFit="1" customWidth="1"/>
    <col min="46" max="46" width="9.42578125" style="5" bestFit="1" customWidth="1"/>
    <col min="47" max="47" width="10.5703125" style="5" bestFit="1" customWidth="1"/>
    <col min="48" max="48" width="9.140625" style="8" bestFit="1" customWidth="1"/>
    <col min="49" max="49" width="10.5703125" style="5" bestFit="1" customWidth="1"/>
    <col min="50" max="50" width="9.140625" style="352" customWidth="1"/>
    <col min="51" max="51" width="10.5703125" style="5" bestFit="1" customWidth="1"/>
    <col min="52" max="52" width="9.42578125" style="7" customWidth="1"/>
    <col min="53" max="53" width="10.5703125" style="6" bestFit="1" customWidth="1"/>
    <col min="54" max="54" width="8.7109375" style="6" bestFit="1" customWidth="1"/>
    <col min="55" max="55" width="1.85546875" style="4" customWidth="1"/>
    <col min="56" max="16384" width="9.140625" style="4"/>
  </cols>
  <sheetData>
    <row r="1" spans="1:54" ht="23.25" x14ac:dyDescent="0.35">
      <c r="A1" s="1" t="s">
        <v>239</v>
      </c>
      <c r="B1" s="2"/>
      <c r="C1" s="2"/>
      <c r="D1" s="2"/>
      <c r="E1" s="2"/>
      <c r="F1" s="122"/>
      <c r="G1" s="2"/>
      <c r="H1" s="12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122"/>
      <c r="AR1" s="2"/>
      <c r="AS1" s="2"/>
      <c r="AT1" s="2"/>
      <c r="AU1" s="122"/>
      <c r="AV1" s="2"/>
      <c r="AW1" s="122"/>
      <c r="AX1" s="347"/>
      <c r="AY1" s="122"/>
      <c r="AZ1" s="178"/>
      <c r="BA1" s="2"/>
      <c r="BB1" s="3"/>
    </row>
    <row r="2" spans="1:54" x14ac:dyDescent="0.2">
      <c r="A2" s="158"/>
      <c r="B2" s="159"/>
      <c r="C2" s="160"/>
      <c r="D2" s="161"/>
      <c r="E2" s="162"/>
      <c r="F2" s="161"/>
      <c r="G2" s="162"/>
      <c r="H2" s="161"/>
      <c r="I2" s="162"/>
      <c r="J2" s="162"/>
      <c r="K2" s="162"/>
      <c r="L2" s="162"/>
      <c r="M2" s="162"/>
      <c r="N2" s="162"/>
      <c r="O2" s="162"/>
      <c r="P2" s="162"/>
      <c r="Q2" s="161"/>
      <c r="R2" s="163"/>
      <c r="S2" s="162"/>
      <c r="T2" s="162"/>
      <c r="U2" s="161"/>
      <c r="V2" s="163"/>
      <c r="W2" s="161"/>
      <c r="X2" s="163"/>
      <c r="Y2" s="164"/>
      <c r="Z2" s="164"/>
      <c r="AA2" s="164"/>
      <c r="AB2" s="164"/>
      <c r="AC2" s="164"/>
      <c r="AD2" s="164"/>
      <c r="AE2" s="161"/>
      <c r="AF2" s="161"/>
      <c r="AG2" s="161"/>
      <c r="AH2" s="161"/>
      <c r="AI2" s="161"/>
      <c r="AJ2" s="161"/>
      <c r="AK2" s="165"/>
      <c r="AL2" s="161"/>
      <c r="AM2" s="165"/>
      <c r="AN2" s="162"/>
      <c r="AO2" s="162"/>
      <c r="AP2" s="161"/>
      <c r="AQ2" s="161"/>
      <c r="AR2" s="165"/>
      <c r="AS2" s="161"/>
      <c r="AT2" s="161"/>
      <c r="AU2" s="161"/>
      <c r="AV2" s="165"/>
      <c r="AW2" s="161"/>
      <c r="AX2" s="163"/>
      <c r="AY2" s="161"/>
      <c r="AZ2" s="163"/>
      <c r="BA2" s="162"/>
      <c r="BB2" s="166"/>
    </row>
    <row r="3" spans="1:54" ht="15.75" x14ac:dyDescent="0.25">
      <c r="A3" s="157" t="s">
        <v>116</v>
      </c>
      <c r="B3" s="134"/>
      <c r="C3" s="134"/>
      <c r="D3" s="134"/>
      <c r="E3" s="134"/>
      <c r="F3" s="135"/>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5"/>
      <c r="AO3" s="134"/>
      <c r="AP3" s="134"/>
      <c r="AQ3" s="135"/>
      <c r="AR3" s="134"/>
      <c r="AS3" s="134"/>
      <c r="AT3" s="134"/>
      <c r="AU3" s="135"/>
      <c r="AV3" s="134"/>
      <c r="AW3" s="135"/>
      <c r="AX3" s="348"/>
      <c r="AY3" s="135"/>
      <c r="AZ3" s="179"/>
      <c r="BA3" s="134"/>
      <c r="BB3" s="136"/>
    </row>
    <row r="4" spans="1:54" ht="15.75" x14ac:dyDescent="0.25">
      <c r="A4" s="155"/>
      <c r="B4" s="156"/>
      <c r="C4" s="137"/>
      <c r="D4" s="336" t="s">
        <v>124</v>
      </c>
      <c r="E4" s="338"/>
      <c r="F4" s="344" t="s">
        <v>125</v>
      </c>
      <c r="G4" s="345"/>
      <c r="H4" s="345"/>
      <c r="I4" s="345"/>
      <c r="J4" s="345"/>
      <c r="K4" s="345"/>
      <c r="L4" s="345"/>
      <c r="M4" s="345"/>
      <c r="N4" s="345"/>
      <c r="O4" s="345"/>
      <c r="P4" s="346"/>
      <c r="Q4" s="336" t="s">
        <v>97</v>
      </c>
      <c r="R4" s="337"/>
      <c r="S4" s="337"/>
      <c r="T4" s="338"/>
      <c r="U4" s="336" t="s">
        <v>98</v>
      </c>
      <c r="V4" s="337"/>
      <c r="W4" s="337"/>
      <c r="X4" s="337"/>
      <c r="Y4" s="337"/>
      <c r="Z4" s="337"/>
      <c r="AA4" s="337"/>
      <c r="AB4" s="337"/>
      <c r="AC4" s="337"/>
      <c r="AD4" s="338"/>
      <c r="AE4" s="336" t="s">
        <v>100</v>
      </c>
      <c r="AF4" s="337"/>
      <c r="AG4" s="337"/>
      <c r="AH4" s="337"/>
      <c r="AI4" s="338"/>
      <c r="AJ4" s="336" t="s">
        <v>108</v>
      </c>
      <c r="AK4" s="337"/>
      <c r="AL4" s="337"/>
      <c r="AM4" s="338"/>
      <c r="AN4" s="336" t="s">
        <v>109</v>
      </c>
      <c r="AO4" s="337"/>
      <c r="AP4" s="338"/>
      <c r="AQ4" s="339" t="s">
        <v>126</v>
      </c>
      <c r="AR4" s="340"/>
      <c r="AS4" s="340"/>
      <c r="AT4" s="340"/>
      <c r="AU4" s="341" t="s">
        <v>127</v>
      </c>
      <c r="AV4" s="342"/>
      <c r="AW4" s="342"/>
      <c r="AX4" s="342"/>
      <c r="AY4" s="342"/>
      <c r="AZ4" s="342"/>
      <c r="BA4" s="342"/>
      <c r="BB4" s="343"/>
    </row>
    <row r="5" spans="1:54" ht="84" customHeight="1" x14ac:dyDescent="0.2">
      <c r="A5" s="10" t="s">
        <v>0</v>
      </c>
      <c r="B5" s="11" t="s">
        <v>1</v>
      </c>
      <c r="C5" s="126" t="s">
        <v>2</v>
      </c>
      <c r="D5" s="12" t="s">
        <v>232</v>
      </c>
      <c r="E5" s="13" t="s">
        <v>128</v>
      </c>
      <c r="F5" s="12" t="s">
        <v>163</v>
      </c>
      <c r="G5" s="12" t="s">
        <v>164</v>
      </c>
      <c r="H5" s="12" t="s">
        <v>229</v>
      </c>
      <c r="I5" s="12" t="s">
        <v>230</v>
      </c>
      <c r="J5" s="13" t="s">
        <v>131</v>
      </c>
      <c r="K5" s="13" t="s">
        <v>131</v>
      </c>
      <c r="L5" s="13" t="s">
        <v>131</v>
      </c>
      <c r="M5" s="13" t="s">
        <v>131</v>
      </c>
      <c r="N5" s="13" t="s">
        <v>131</v>
      </c>
      <c r="O5" s="13" t="s">
        <v>131</v>
      </c>
      <c r="P5" s="13" t="s">
        <v>131</v>
      </c>
      <c r="Q5" s="12" t="s">
        <v>130</v>
      </c>
      <c r="R5" s="13" t="s">
        <v>128</v>
      </c>
      <c r="S5" s="13" t="s">
        <v>131</v>
      </c>
      <c r="T5" s="13" t="s">
        <v>131</v>
      </c>
      <c r="U5" s="12" t="s">
        <v>163</v>
      </c>
      <c r="V5" s="13" t="s">
        <v>164</v>
      </c>
      <c r="W5" s="12" t="s">
        <v>229</v>
      </c>
      <c r="X5" s="12" t="s">
        <v>230</v>
      </c>
      <c r="Y5" s="138" t="s">
        <v>132</v>
      </c>
      <c r="Z5" s="138" t="s">
        <v>133</v>
      </c>
      <c r="AA5" s="138" t="s">
        <v>134</v>
      </c>
      <c r="AB5" s="138" t="s">
        <v>135</v>
      </c>
      <c r="AC5" s="138" t="s">
        <v>136</v>
      </c>
      <c r="AD5" s="138" t="s">
        <v>137</v>
      </c>
      <c r="AE5" s="12" t="s">
        <v>129</v>
      </c>
      <c r="AF5" s="12" t="s">
        <v>128</v>
      </c>
      <c r="AG5" s="12" t="s">
        <v>131</v>
      </c>
      <c r="AH5" s="12" t="s">
        <v>131</v>
      </c>
      <c r="AI5" s="12" t="s">
        <v>131</v>
      </c>
      <c r="AJ5" s="12" t="s">
        <v>231</v>
      </c>
      <c r="AK5" s="12" t="s">
        <v>138</v>
      </c>
      <c r="AL5" s="12" t="s">
        <v>139</v>
      </c>
      <c r="AM5" s="12" t="s">
        <v>140</v>
      </c>
      <c r="AN5" s="12" t="s">
        <v>141</v>
      </c>
      <c r="AO5" s="13" t="s">
        <v>128</v>
      </c>
      <c r="AP5" s="13" t="s">
        <v>131</v>
      </c>
      <c r="AQ5" s="12" t="s">
        <v>139</v>
      </c>
      <c r="AR5" s="13" t="s">
        <v>128</v>
      </c>
      <c r="AS5" s="12" t="s">
        <v>142</v>
      </c>
      <c r="AT5" s="12" t="s">
        <v>142</v>
      </c>
      <c r="AU5" s="12" t="s">
        <v>143</v>
      </c>
      <c r="AV5" s="12" t="s">
        <v>144</v>
      </c>
      <c r="AW5" s="12" t="s">
        <v>227</v>
      </c>
      <c r="AX5" s="13" t="s">
        <v>228</v>
      </c>
      <c r="AY5" s="12" t="s">
        <v>145</v>
      </c>
      <c r="AZ5" s="13" t="s">
        <v>146</v>
      </c>
      <c r="BA5" s="12" t="s">
        <v>147</v>
      </c>
      <c r="BB5" s="13" t="s">
        <v>70</v>
      </c>
    </row>
    <row r="6" spans="1:54" ht="13.5" customHeight="1" x14ac:dyDescent="0.2">
      <c r="A6" s="14"/>
      <c r="B6" s="15"/>
      <c r="C6" s="127"/>
      <c r="D6" s="16"/>
      <c r="E6" s="17"/>
      <c r="F6" s="106"/>
      <c r="G6" s="17"/>
      <c r="H6" s="106"/>
      <c r="I6" s="17"/>
      <c r="J6" s="20">
        <v>1.1000000000000001</v>
      </c>
      <c r="K6" s="20">
        <v>1.37</v>
      </c>
      <c r="L6" s="20">
        <v>1.47</v>
      </c>
      <c r="M6" s="20">
        <v>1.62</v>
      </c>
      <c r="N6" s="20">
        <v>2</v>
      </c>
      <c r="O6" s="20">
        <v>2.15</v>
      </c>
      <c r="P6" s="20">
        <v>3</v>
      </c>
      <c r="Q6" s="106"/>
      <c r="R6" s="17"/>
      <c r="S6" s="20">
        <v>1.3</v>
      </c>
      <c r="T6" s="20">
        <v>1.5</v>
      </c>
      <c r="U6" s="16"/>
      <c r="V6" s="18"/>
      <c r="W6" s="16"/>
      <c r="X6" s="18"/>
      <c r="Y6" s="19">
        <v>1.1000000000000001</v>
      </c>
      <c r="Z6" s="19">
        <v>1.37</v>
      </c>
      <c r="AA6" s="19">
        <v>1.62</v>
      </c>
      <c r="AB6" s="19">
        <v>1.47</v>
      </c>
      <c r="AC6" s="19">
        <v>2.17</v>
      </c>
      <c r="AD6" s="19">
        <v>3</v>
      </c>
      <c r="AE6" s="16"/>
      <c r="AF6" s="16"/>
      <c r="AG6" s="20">
        <v>1.65</v>
      </c>
      <c r="AH6" s="20">
        <v>2.1</v>
      </c>
      <c r="AI6" s="20">
        <v>3</v>
      </c>
      <c r="AJ6" s="16"/>
      <c r="AK6" s="18"/>
      <c r="AL6" s="16"/>
      <c r="AM6" s="18"/>
      <c r="AN6" s="106"/>
      <c r="AO6" s="17"/>
      <c r="AP6" s="20">
        <v>1.5</v>
      </c>
      <c r="AQ6" s="16"/>
      <c r="AR6" s="16"/>
      <c r="AS6" s="20">
        <v>1.3</v>
      </c>
      <c r="AT6" s="20">
        <v>1.45</v>
      </c>
      <c r="AU6" s="16"/>
      <c r="AV6" s="16"/>
      <c r="AW6" s="16"/>
      <c r="AX6" s="18"/>
      <c r="AY6" s="16"/>
      <c r="AZ6" s="18"/>
      <c r="BA6" s="17"/>
      <c r="BB6" s="17"/>
    </row>
    <row r="7" spans="1:54" s="23" customFormat="1" ht="13.5" customHeight="1" x14ac:dyDescent="0.2">
      <c r="A7" s="21"/>
      <c r="B7" s="22"/>
      <c r="C7" s="185" t="s">
        <v>64</v>
      </c>
      <c r="D7" s="139" t="s">
        <v>65</v>
      </c>
      <c r="E7" s="140" t="s">
        <v>65</v>
      </c>
      <c r="F7" s="139" t="s">
        <v>65</v>
      </c>
      <c r="G7" s="140" t="s">
        <v>65</v>
      </c>
      <c r="H7" s="140" t="s">
        <v>65</v>
      </c>
      <c r="I7" s="140" t="s">
        <v>65</v>
      </c>
      <c r="J7" s="140" t="s">
        <v>65</v>
      </c>
      <c r="K7" s="140" t="s">
        <v>65</v>
      </c>
      <c r="L7" s="140" t="s">
        <v>65</v>
      </c>
      <c r="M7" s="140" t="s">
        <v>65</v>
      </c>
      <c r="N7" s="140" t="s">
        <v>65</v>
      </c>
      <c r="O7" s="140" t="s">
        <v>65</v>
      </c>
      <c r="P7" s="140" t="s">
        <v>65</v>
      </c>
      <c r="Q7" s="140" t="s">
        <v>65</v>
      </c>
      <c r="R7" s="140" t="s">
        <v>65</v>
      </c>
      <c r="S7" s="140" t="s">
        <v>65</v>
      </c>
      <c r="T7" s="140" t="s">
        <v>65</v>
      </c>
      <c r="U7" s="140" t="s">
        <v>65</v>
      </c>
      <c r="V7" s="140" t="s">
        <v>65</v>
      </c>
      <c r="W7" s="140" t="s">
        <v>65</v>
      </c>
      <c r="X7" s="140" t="s">
        <v>65</v>
      </c>
      <c r="Y7" s="140" t="s">
        <v>65</v>
      </c>
      <c r="Z7" s="140" t="s">
        <v>65</v>
      </c>
      <c r="AA7" s="140" t="s">
        <v>65</v>
      </c>
      <c r="AB7" s="140" t="s">
        <v>65</v>
      </c>
      <c r="AC7" s="140" t="s">
        <v>65</v>
      </c>
      <c r="AD7" s="140" t="s">
        <v>65</v>
      </c>
      <c r="AE7" s="140" t="s">
        <v>65</v>
      </c>
      <c r="AF7" s="140" t="s">
        <v>65</v>
      </c>
      <c r="AG7" s="140" t="s">
        <v>65</v>
      </c>
      <c r="AH7" s="140" t="s">
        <v>65</v>
      </c>
      <c r="AI7" s="140" t="s">
        <v>65</v>
      </c>
      <c r="AJ7" s="140" t="s">
        <v>65</v>
      </c>
      <c r="AK7" s="140" t="s">
        <v>65</v>
      </c>
      <c r="AL7" s="140" t="s">
        <v>65</v>
      </c>
      <c r="AM7" s="140" t="s">
        <v>65</v>
      </c>
      <c r="AN7" s="139" t="s">
        <v>65</v>
      </c>
      <c r="AO7" s="140" t="s">
        <v>65</v>
      </c>
      <c r="AP7" s="140" t="s">
        <v>65</v>
      </c>
      <c r="AQ7" s="139" t="s">
        <v>65</v>
      </c>
      <c r="AR7" s="140" t="s">
        <v>65</v>
      </c>
      <c r="AS7" s="140" t="s">
        <v>65</v>
      </c>
      <c r="AT7" s="140" t="s">
        <v>65</v>
      </c>
      <c r="AU7" s="139" t="s">
        <v>65</v>
      </c>
      <c r="AV7" s="140" t="s">
        <v>65</v>
      </c>
      <c r="AW7" s="139" t="s">
        <v>65</v>
      </c>
      <c r="AX7" s="140" t="s">
        <v>65</v>
      </c>
      <c r="AY7" s="139" t="s">
        <v>65</v>
      </c>
      <c r="AZ7" s="140" t="s">
        <v>65</v>
      </c>
      <c r="BA7" s="140" t="s">
        <v>65</v>
      </c>
      <c r="BB7" s="140" t="s">
        <v>65</v>
      </c>
    </row>
    <row r="8" spans="1:54" x14ac:dyDescent="0.2">
      <c r="A8" s="24"/>
      <c r="B8" s="25" t="s">
        <v>3</v>
      </c>
      <c r="C8" s="26"/>
      <c r="D8" s="27"/>
      <c r="E8" s="28"/>
      <c r="F8" s="27"/>
      <c r="G8" s="28"/>
      <c r="H8" s="27"/>
      <c r="I8" s="28"/>
      <c r="J8" s="28"/>
      <c r="K8" s="28"/>
      <c r="L8" s="28"/>
      <c r="M8" s="28"/>
      <c r="N8" s="28"/>
      <c r="O8" s="28"/>
      <c r="P8" s="28"/>
      <c r="Q8" s="29"/>
      <c r="R8" s="28"/>
      <c r="S8" s="28"/>
      <c r="T8" s="28"/>
      <c r="U8" s="29"/>
      <c r="V8" s="28"/>
      <c r="W8" s="29"/>
      <c r="X8" s="28"/>
      <c r="Y8" s="30"/>
      <c r="Z8" s="30"/>
      <c r="AA8" s="31"/>
      <c r="AB8" s="31"/>
      <c r="AC8" s="31"/>
      <c r="AD8" s="31"/>
      <c r="AE8" s="29"/>
      <c r="AF8" s="28"/>
      <c r="AG8" s="27"/>
      <c r="AH8" s="27"/>
      <c r="AI8" s="27"/>
      <c r="AJ8" s="27"/>
      <c r="AK8" s="27"/>
      <c r="AL8" s="27"/>
      <c r="AM8" s="27"/>
      <c r="AN8" s="28"/>
      <c r="AO8" s="28"/>
      <c r="AP8" s="27"/>
      <c r="AQ8" s="27"/>
      <c r="AR8" s="27"/>
      <c r="AS8" s="27"/>
      <c r="AT8" s="27"/>
      <c r="AU8" s="27"/>
      <c r="AV8" s="27"/>
      <c r="AW8" s="27"/>
      <c r="AX8" s="28"/>
      <c r="AY8" s="27"/>
      <c r="AZ8" s="28"/>
      <c r="BA8" s="28"/>
      <c r="BB8" s="131"/>
    </row>
    <row r="9" spans="1:54" x14ac:dyDescent="0.2">
      <c r="A9" s="186"/>
      <c r="B9" s="187"/>
      <c r="C9" s="188"/>
      <c r="D9" s="189"/>
      <c r="E9" s="190"/>
      <c r="F9" s="189"/>
      <c r="G9" s="190"/>
      <c r="H9" s="189"/>
      <c r="I9" s="190"/>
      <c r="J9" s="191"/>
      <c r="K9" s="191"/>
      <c r="L9" s="191"/>
      <c r="M9" s="191"/>
      <c r="N9" s="191"/>
      <c r="O9" s="191"/>
      <c r="P9" s="191"/>
      <c r="Q9" s="192"/>
      <c r="R9" s="193"/>
      <c r="S9" s="191"/>
      <c r="T9" s="191"/>
      <c r="U9" s="192"/>
      <c r="V9" s="193"/>
      <c r="W9" s="192"/>
      <c r="X9" s="193"/>
      <c r="Y9" s="194"/>
      <c r="Z9" s="194"/>
      <c r="AA9" s="195"/>
      <c r="AB9" s="195"/>
      <c r="AC9" s="195"/>
      <c r="AD9" s="195"/>
      <c r="AE9" s="196"/>
      <c r="AF9" s="196"/>
      <c r="AG9" s="197"/>
      <c r="AH9" s="197"/>
      <c r="AI9" s="197"/>
      <c r="AJ9" s="192"/>
      <c r="AK9" s="198"/>
      <c r="AL9" s="192"/>
      <c r="AM9" s="198"/>
      <c r="AN9" s="199"/>
      <c r="AO9" s="200"/>
      <c r="AP9" s="197"/>
      <c r="AQ9" s="189"/>
      <c r="AR9" s="198"/>
      <c r="AS9" s="197"/>
      <c r="AT9" s="197"/>
      <c r="AU9" s="189"/>
      <c r="AV9" s="198"/>
      <c r="AW9" s="189"/>
      <c r="AX9" s="193"/>
      <c r="AY9" s="189"/>
      <c r="AZ9" s="193"/>
      <c r="BA9" s="199"/>
      <c r="BB9" s="200"/>
    </row>
    <row r="10" spans="1:54" x14ac:dyDescent="0.2">
      <c r="A10" s="35"/>
      <c r="B10" s="36" t="s">
        <v>67</v>
      </c>
      <c r="C10" s="37"/>
      <c r="D10" s="38"/>
      <c r="E10" s="39"/>
      <c r="F10" s="42"/>
      <c r="G10" s="39"/>
      <c r="H10" s="42"/>
      <c r="I10" s="39"/>
      <c r="J10" s="107"/>
      <c r="K10" s="107"/>
      <c r="L10" s="107"/>
      <c r="M10" s="107"/>
      <c r="N10" s="107"/>
      <c r="O10" s="107"/>
      <c r="P10" s="107"/>
      <c r="Q10" s="40"/>
      <c r="R10" s="41"/>
      <c r="S10" s="107"/>
      <c r="T10" s="107"/>
      <c r="U10" s="40"/>
      <c r="V10" s="41"/>
      <c r="W10" s="40"/>
      <c r="X10" s="41"/>
      <c r="Y10" s="108"/>
      <c r="Z10" s="108"/>
      <c r="AA10" s="109"/>
      <c r="AB10" s="109"/>
      <c r="AC10" s="109"/>
      <c r="AD10" s="109"/>
      <c r="AE10" s="42"/>
      <c r="AF10" s="43"/>
      <c r="AG10" s="110"/>
      <c r="AH10" s="110"/>
      <c r="AI10" s="110"/>
      <c r="AJ10" s="42"/>
      <c r="AK10" s="43"/>
      <c r="AL10" s="42"/>
      <c r="AM10" s="43"/>
      <c r="AN10" s="40"/>
      <c r="AO10" s="43"/>
      <c r="AP10" s="110"/>
      <c r="AQ10" s="42"/>
      <c r="AR10" s="43"/>
      <c r="AS10" s="110"/>
      <c r="AT10" s="110"/>
      <c r="AU10" s="42"/>
      <c r="AV10" s="43"/>
      <c r="AW10" s="42"/>
      <c r="AX10" s="43"/>
      <c r="AY10" s="221"/>
      <c r="AZ10" s="43"/>
      <c r="BA10" s="40"/>
      <c r="BB10" s="43"/>
    </row>
    <row r="11" spans="1:54" x14ac:dyDescent="0.2">
      <c r="A11" s="44" t="s">
        <v>4</v>
      </c>
      <c r="B11" s="45" t="s">
        <v>23</v>
      </c>
      <c r="C11" s="46">
        <v>15</v>
      </c>
      <c r="D11" s="42">
        <f t="shared" ref="D11:D30" si="0">ROUND(E11*C11,1)</f>
        <v>959.7</v>
      </c>
      <c r="E11" s="123">
        <f>RCFs!C$43</f>
        <v>63.983120993999997</v>
      </c>
      <c r="F11" s="124">
        <f t="shared" ref="F11:F30" si="1">ROUNDDOWN((H11/1.039),1)</f>
        <v>380.1</v>
      </c>
      <c r="G11" s="39">
        <f>F11/C11</f>
        <v>25.34</v>
      </c>
      <c r="H11" s="124">
        <v>395</v>
      </c>
      <c r="I11" s="39">
        <f>H11/C11</f>
        <v>26.333333333333332</v>
      </c>
      <c r="J11" s="111">
        <f t="shared" ref="J11:P27" si="2">ROUND($C11*$I11*J$6,1)</f>
        <v>434.5</v>
      </c>
      <c r="K11" s="111">
        <f t="shared" si="2"/>
        <v>541.20000000000005</v>
      </c>
      <c r="L11" s="111">
        <f t="shared" si="2"/>
        <v>580.70000000000005</v>
      </c>
      <c r="M11" s="111">
        <f t="shared" si="2"/>
        <v>639.9</v>
      </c>
      <c r="N11" s="111">
        <f t="shared" si="2"/>
        <v>790</v>
      </c>
      <c r="O11" s="111">
        <f t="shared" si="2"/>
        <v>849.3</v>
      </c>
      <c r="P11" s="111">
        <f t="shared" si="2"/>
        <v>1185</v>
      </c>
      <c r="Q11" s="124">
        <v>401.6</v>
      </c>
      <c r="R11" s="43">
        <f>Q11/C11</f>
        <v>26.773333333333333</v>
      </c>
      <c r="S11" s="111">
        <f>ROUNDDOWN($Q11*S$6,1)</f>
        <v>522</v>
      </c>
      <c r="T11" s="111">
        <f>ROUNDDOWN($Q11*T$6,1)</f>
        <v>602.4</v>
      </c>
      <c r="U11" s="124">
        <v>266.3</v>
      </c>
      <c r="V11" s="43">
        <f>U11/C11</f>
        <v>17.753333333333334</v>
      </c>
      <c r="W11" s="124">
        <v>283.8</v>
      </c>
      <c r="X11" s="43">
        <f t="shared" ref="X11:X20" si="3">W11/C11</f>
        <v>18.920000000000002</v>
      </c>
      <c r="Y11" s="111">
        <f>ROUNDDOWN($W11*Y$6,1)</f>
        <v>312.10000000000002</v>
      </c>
      <c r="Z11" s="111">
        <f t="shared" ref="Z11:AD27" si="4">ROUNDDOWN($W11*Z$6,1)</f>
        <v>388.8</v>
      </c>
      <c r="AA11" s="111">
        <f t="shared" si="4"/>
        <v>459.7</v>
      </c>
      <c r="AB11" s="111">
        <f t="shared" si="4"/>
        <v>417.1</v>
      </c>
      <c r="AC11" s="111">
        <f t="shared" si="4"/>
        <v>615.79999999999995</v>
      </c>
      <c r="AD11" s="111">
        <f t="shared" si="4"/>
        <v>851.4</v>
      </c>
      <c r="AE11" s="42">
        <v>377.8</v>
      </c>
      <c r="AF11" s="125">
        <f t="shared" ref="AF11:AF30" si="5">AE11/C11</f>
        <v>25.186666666666667</v>
      </c>
      <c r="AG11" s="110">
        <f t="shared" ref="AG11:AI30" si="6">ROUND($AE11*AG$6,1)</f>
        <v>623.4</v>
      </c>
      <c r="AH11" s="110">
        <f t="shared" si="6"/>
        <v>793.4</v>
      </c>
      <c r="AI11" s="110">
        <f t="shared" si="6"/>
        <v>1133.4000000000001</v>
      </c>
      <c r="AJ11" s="124">
        <v>397.5</v>
      </c>
      <c r="AK11" s="43">
        <f>AJ11/C11</f>
        <v>26.5</v>
      </c>
      <c r="AL11" s="124">
        <v>534.70000000000005</v>
      </c>
      <c r="AM11" s="43">
        <f t="shared" ref="AM11:AM30" si="7">AL11/C11</f>
        <v>35.646666666666668</v>
      </c>
      <c r="AN11" s="42">
        <v>426.7</v>
      </c>
      <c r="AO11" s="43">
        <f>AN11/C11</f>
        <v>28.446666666666665</v>
      </c>
      <c r="AP11" s="110">
        <f>ROUNDDOWN($AN11*AP$6,1)</f>
        <v>640</v>
      </c>
      <c r="AQ11" s="42">
        <v>418.8</v>
      </c>
      <c r="AR11" s="43">
        <f>AQ11/C11</f>
        <v>27.92</v>
      </c>
      <c r="AS11" s="110">
        <f>ROUNDDOWN($AQ11*AS$6,1)</f>
        <v>544.4</v>
      </c>
      <c r="AT11" s="110">
        <f>ROUNDDOWN($AQ11*AT$6,1)</f>
        <v>607.20000000000005</v>
      </c>
      <c r="AU11" s="42">
        <v>414.4</v>
      </c>
      <c r="AV11" s="43">
        <f>AU11/C11</f>
        <v>27.626666666666665</v>
      </c>
      <c r="AW11" s="42">
        <v>414.8</v>
      </c>
      <c r="AX11" s="43">
        <f>AW11/C11</f>
        <v>27.653333333333332</v>
      </c>
      <c r="AY11" s="42">
        <v>422.7</v>
      </c>
      <c r="AZ11" s="43">
        <f>AY11/C11</f>
        <v>28.18</v>
      </c>
      <c r="BA11" s="175">
        <f t="shared" ref="BA11:BA19" si="8">ROUNDDOWN(C11*BB11,1)</f>
        <v>403.9</v>
      </c>
      <c r="BB11" s="125">
        <f>RCFs!I$41</f>
        <v>26.931999999999999</v>
      </c>
    </row>
    <row r="12" spans="1:54" x14ac:dyDescent="0.2">
      <c r="A12" s="44" t="s">
        <v>15</v>
      </c>
      <c r="B12" s="45" t="s">
        <v>24</v>
      </c>
      <c r="C12" s="46">
        <v>45</v>
      </c>
      <c r="D12" s="42">
        <f t="shared" si="0"/>
        <v>2879.2</v>
      </c>
      <c r="E12" s="123">
        <f>RCFs!C$43</f>
        <v>63.983120993999997</v>
      </c>
      <c r="F12" s="124">
        <f t="shared" si="1"/>
        <v>1140.8</v>
      </c>
      <c r="G12" s="39">
        <f t="shared" ref="G12:G30" si="9">F12/C12</f>
        <v>25.351111111111109</v>
      </c>
      <c r="H12" s="124">
        <v>1185.3</v>
      </c>
      <c r="I12" s="39">
        <f t="shared" ref="I12:I30" si="10">H12/C12</f>
        <v>26.34</v>
      </c>
      <c r="J12" s="111">
        <f t="shared" si="2"/>
        <v>1303.8</v>
      </c>
      <c r="K12" s="111">
        <f t="shared" si="2"/>
        <v>1623.9</v>
      </c>
      <c r="L12" s="111">
        <f t="shared" si="2"/>
        <v>1742.4</v>
      </c>
      <c r="M12" s="111">
        <f t="shared" si="2"/>
        <v>1920.2</v>
      </c>
      <c r="N12" s="111">
        <f t="shared" si="2"/>
        <v>2370.6</v>
      </c>
      <c r="O12" s="111">
        <f t="shared" si="2"/>
        <v>2548.4</v>
      </c>
      <c r="P12" s="111">
        <f t="shared" si="2"/>
        <v>3555.9</v>
      </c>
      <c r="Q12" s="124">
        <v>1204.9000000000001</v>
      </c>
      <c r="R12" s="43">
        <f t="shared" ref="R12:R36" si="11">Q12/C12</f>
        <v>26.775555555555556</v>
      </c>
      <c r="S12" s="111">
        <f>ROUNDDOWN($Q12*S$6,1)</f>
        <v>1566.3</v>
      </c>
      <c r="T12" s="111">
        <f t="shared" ref="T12:T36" si="12">ROUNDDOWN($Q12*T$6,1)</f>
        <v>1807.3</v>
      </c>
      <c r="U12" s="124">
        <v>1115.2</v>
      </c>
      <c r="V12" s="43">
        <f t="shared" ref="V12:V36" si="13">U12/C12</f>
        <v>24.782222222222224</v>
      </c>
      <c r="W12" s="124">
        <v>1187.8</v>
      </c>
      <c r="X12" s="43">
        <f t="shared" si="3"/>
        <v>26.395555555555553</v>
      </c>
      <c r="Y12" s="111">
        <f t="shared" ref="Y12:AD29" si="14">ROUNDDOWN($W12*Y$6,1)</f>
        <v>1306.5</v>
      </c>
      <c r="Z12" s="111">
        <f t="shared" si="4"/>
        <v>1627.2</v>
      </c>
      <c r="AA12" s="111">
        <f t="shared" si="4"/>
        <v>1924.2</v>
      </c>
      <c r="AB12" s="111">
        <f t="shared" si="4"/>
        <v>1746</v>
      </c>
      <c r="AC12" s="111">
        <f t="shared" si="4"/>
        <v>2577.5</v>
      </c>
      <c r="AD12" s="111">
        <f t="shared" si="4"/>
        <v>3563.4</v>
      </c>
      <c r="AE12" s="42">
        <v>1133.7</v>
      </c>
      <c r="AF12" s="125">
        <f t="shared" si="5"/>
        <v>25.193333333333335</v>
      </c>
      <c r="AG12" s="110">
        <f t="shared" si="6"/>
        <v>1870.6</v>
      </c>
      <c r="AH12" s="110">
        <f t="shared" si="6"/>
        <v>2380.8000000000002</v>
      </c>
      <c r="AI12" s="110">
        <f t="shared" si="6"/>
        <v>3401.1</v>
      </c>
      <c r="AJ12" s="124">
        <v>0</v>
      </c>
      <c r="AK12" s="43">
        <f t="shared" ref="AK12:AK30" si="15">AJ12/C12</f>
        <v>0</v>
      </c>
      <c r="AL12" s="124">
        <v>0</v>
      </c>
      <c r="AM12" s="43">
        <f t="shared" si="7"/>
        <v>0</v>
      </c>
      <c r="AN12" s="42">
        <v>0</v>
      </c>
      <c r="AO12" s="43">
        <f t="shared" ref="AO12:AO30" si="16">AN12/C12</f>
        <v>0</v>
      </c>
      <c r="AP12" s="110">
        <f t="shared" ref="AP12:AP30" si="17">ROUNDDOWN($AN12*AP$6,1)</f>
        <v>0</v>
      </c>
      <c r="AQ12" s="42">
        <v>1257.4000000000001</v>
      </c>
      <c r="AR12" s="43">
        <f t="shared" ref="AR12:AR30" si="18">AQ12/C12</f>
        <v>27.942222222222224</v>
      </c>
      <c r="AS12" s="110">
        <f t="shared" ref="AS12:AT30" si="19">ROUNDDOWN($AQ12*AS$6,1)</f>
        <v>1634.6</v>
      </c>
      <c r="AT12" s="110">
        <f t="shared" si="19"/>
        <v>1823.2</v>
      </c>
      <c r="AU12" s="42">
        <v>1242.5</v>
      </c>
      <c r="AV12" s="43">
        <f t="shared" ref="AV12:AV30" si="20">AU12/C12</f>
        <v>27.611111111111111</v>
      </c>
      <c r="AW12" s="124">
        <v>0</v>
      </c>
      <c r="AX12" s="43">
        <f t="shared" ref="AX12:AX30" si="21">AW12/C12</f>
        <v>0</v>
      </c>
      <c r="AY12" s="42">
        <v>1268.0999999999999</v>
      </c>
      <c r="AZ12" s="43">
        <f t="shared" ref="AZ12:AZ20" si="22">AY12/C12</f>
        <v>28.18</v>
      </c>
      <c r="BA12" s="175">
        <f t="shared" si="8"/>
        <v>1211.9000000000001</v>
      </c>
      <c r="BB12" s="125">
        <f>RCFs!I$41</f>
        <v>26.931999999999999</v>
      </c>
    </row>
    <row r="13" spans="1:54" x14ac:dyDescent="0.2">
      <c r="A13" s="44" t="s">
        <v>5</v>
      </c>
      <c r="B13" s="45" t="s">
        <v>6</v>
      </c>
      <c r="C13" s="46">
        <v>15</v>
      </c>
      <c r="D13" s="42">
        <f t="shared" si="0"/>
        <v>959.7</v>
      </c>
      <c r="E13" s="123">
        <f>RCFs!C$43</f>
        <v>63.983120993999997</v>
      </c>
      <c r="F13" s="124">
        <f t="shared" si="1"/>
        <v>380.1</v>
      </c>
      <c r="G13" s="39">
        <f t="shared" si="9"/>
        <v>25.34</v>
      </c>
      <c r="H13" s="124">
        <v>395</v>
      </c>
      <c r="I13" s="39">
        <f t="shared" si="10"/>
        <v>26.333333333333332</v>
      </c>
      <c r="J13" s="111">
        <f t="shared" si="2"/>
        <v>434.5</v>
      </c>
      <c r="K13" s="111">
        <f t="shared" si="2"/>
        <v>541.20000000000005</v>
      </c>
      <c r="L13" s="111">
        <f t="shared" si="2"/>
        <v>580.70000000000005</v>
      </c>
      <c r="M13" s="111">
        <f t="shared" si="2"/>
        <v>639.9</v>
      </c>
      <c r="N13" s="111">
        <f t="shared" si="2"/>
        <v>790</v>
      </c>
      <c r="O13" s="111">
        <f t="shared" si="2"/>
        <v>849.3</v>
      </c>
      <c r="P13" s="111">
        <f t="shared" si="2"/>
        <v>1185</v>
      </c>
      <c r="Q13" s="124">
        <v>401.6</v>
      </c>
      <c r="R13" s="43">
        <f t="shared" si="11"/>
        <v>26.773333333333333</v>
      </c>
      <c r="S13" s="111">
        <f t="shared" ref="S13:S36" si="23">ROUNDDOWN($Q13*S$6,1)</f>
        <v>522</v>
      </c>
      <c r="T13" s="111">
        <f t="shared" si="12"/>
        <v>602.4</v>
      </c>
      <c r="U13" s="124">
        <v>371.7</v>
      </c>
      <c r="V13" s="43">
        <f t="shared" si="13"/>
        <v>24.779999999999998</v>
      </c>
      <c r="W13" s="124">
        <v>395.8</v>
      </c>
      <c r="X13" s="43">
        <f t="shared" si="3"/>
        <v>26.386666666666667</v>
      </c>
      <c r="Y13" s="111">
        <f t="shared" si="14"/>
        <v>435.3</v>
      </c>
      <c r="Z13" s="111">
        <f t="shared" si="4"/>
        <v>542.20000000000005</v>
      </c>
      <c r="AA13" s="111">
        <f t="shared" si="4"/>
        <v>641.1</v>
      </c>
      <c r="AB13" s="111">
        <f t="shared" si="4"/>
        <v>581.79999999999995</v>
      </c>
      <c r="AC13" s="111">
        <f t="shared" si="4"/>
        <v>858.8</v>
      </c>
      <c r="AD13" s="111">
        <f t="shared" si="4"/>
        <v>1187.4000000000001</v>
      </c>
      <c r="AE13" s="42">
        <v>377.8</v>
      </c>
      <c r="AF13" s="125">
        <f t="shared" si="5"/>
        <v>25.186666666666667</v>
      </c>
      <c r="AG13" s="110">
        <f t="shared" si="6"/>
        <v>623.4</v>
      </c>
      <c r="AH13" s="110">
        <f t="shared" si="6"/>
        <v>793.4</v>
      </c>
      <c r="AI13" s="110">
        <f t="shared" si="6"/>
        <v>1133.4000000000001</v>
      </c>
      <c r="AJ13" s="124">
        <v>389.3</v>
      </c>
      <c r="AK13" s="43">
        <f t="shared" si="15"/>
        <v>25.953333333333333</v>
      </c>
      <c r="AL13" s="124">
        <v>534.70000000000005</v>
      </c>
      <c r="AM13" s="43">
        <f t="shared" si="7"/>
        <v>35.646666666666668</v>
      </c>
      <c r="AN13" s="42">
        <v>426.7</v>
      </c>
      <c r="AO13" s="43">
        <f t="shared" si="16"/>
        <v>28.446666666666665</v>
      </c>
      <c r="AP13" s="110">
        <f t="shared" si="17"/>
        <v>640</v>
      </c>
      <c r="AQ13" s="42">
        <v>418.8</v>
      </c>
      <c r="AR13" s="43">
        <f t="shared" si="18"/>
        <v>27.92</v>
      </c>
      <c r="AS13" s="110">
        <f t="shared" si="19"/>
        <v>544.4</v>
      </c>
      <c r="AT13" s="110">
        <f t="shared" si="19"/>
        <v>607.20000000000005</v>
      </c>
      <c r="AU13" s="42">
        <v>414.4</v>
      </c>
      <c r="AV13" s="43">
        <f t="shared" si="20"/>
        <v>27.626666666666665</v>
      </c>
      <c r="AW13" s="42">
        <v>414.8</v>
      </c>
      <c r="AX13" s="43">
        <f t="shared" si="21"/>
        <v>27.653333333333332</v>
      </c>
      <c r="AY13" s="42">
        <v>422.7</v>
      </c>
      <c r="AZ13" s="43">
        <f t="shared" si="22"/>
        <v>28.18</v>
      </c>
      <c r="BA13" s="175">
        <f t="shared" si="8"/>
        <v>403.9</v>
      </c>
      <c r="BB13" s="125">
        <f>RCFs!I$41</f>
        <v>26.931999999999999</v>
      </c>
    </row>
    <row r="14" spans="1:54" x14ac:dyDescent="0.2">
      <c r="A14" s="47" t="s">
        <v>27</v>
      </c>
      <c r="B14" s="48" t="s">
        <v>41</v>
      </c>
      <c r="C14" s="46">
        <v>12</v>
      </c>
      <c r="D14" s="42">
        <f t="shared" si="0"/>
        <v>767.8</v>
      </c>
      <c r="E14" s="123">
        <f>RCFs!C$43</f>
        <v>63.983120993999997</v>
      </c>
      <c r="F14" s="124">
        <f t="shared" si="1"/>
        <v>329.4</v>
      </c>
      <c r="G14" s="39">
        <f t="shared" si="9"/>
        <v>27.45</v>
      </c>
      <c r="H14" s="124">
        <v>342.3</v>
      </c>
      <c r="I14" s="39">
        <f t="shared" si="10"/>
        <v>28.525000000000002</v>
      </c>
      <c r="J14" s="111">
        <f t="shared" si="2"/>
        <v>376.5</v>
      </c>
      <c r="K14" s="111">
        <f t="shared" si="2"/>
        <v>469</v>
      </c>
      <c r="L14" s="111">
        <f t="shared" si="2"/>
        <v>503.2</v>
      </c>
      <c r="M14" s="111">
        <f t="shared" si="2"/>
        <v>554.5</v>
      </c>
      <c r="N14" s="111">
        <f t="shared" si="2"/>
        <v>684.6</v>
      </c>
      <c r="O14" s="111">
        <f t="shared" si="2"/>
        <v>735.9</v>
      </c>
      <c r="P14" s="111">
        <f t="shared" si="2"/>
        <v>1026.9000000000001</v>
      </c>
      <c r="Q14" s="124">
        <v>481.8</v>
      </c>
      <c r="R14" s="43">
        <f t="shared" si="11"/>
        <v>40.15</v>
      </c>
      <c r="S14" s="111">
        <f t="shared" si="23"/>
        <v>626.29999999999995</v>
      </c>
      <c r="T14" s="111">
        <f t="shared" si="12"/>
        <v>722.7</v>
      </c>
      <c r="U14" s="124">
        <v>340.9</v>
      </c>
      <c r="V14" s="43">
        <f t="shared" si="13"/>
        <v>28.408333333333331</v>
      </c>
      <c r="W14" s="124">
        <v>363</v>
      </c>
      <c r="X14" s="43">
        <f t="shared" si="3"/>
        <v>30.25</v>
      </c>
      <c r="Y14" s="111">
        <f t="shared" si="14"/>
        <v>399.3</v>
      </c>
      <c r="Z14" s="111">
        <f t="shared" si="4"/>
        <v>497.3</v>
      </c>
      <c r="AA14" s="111">
        <f t="shared" si="4"/>
        <v>588</v>
      </c>
      <c r="AB14" s="111">
        <f t="shared" si="4"/>
        <v>533.6</v>
      </c>
      <c r="AC14" s="111">
        <f t="shared" si="4"/>
        <v>787.7</v>
      </c>
      <c r="AD14" s="111">
        <f t="shared" si="4"/>
        <v>1089</v>
      </c>
      <c r="AE14" s="42">
        <v>453.3</v>
      </c>
      <c r="AF14" s="125">
        <f t="shared" si="5"/>
        <v>37.774999999999999</v>
      </c>
      <c r="AG14" s="110">
        <f t="shared" si="6"/>
        <v>747.9</v>
      </c>
      <c r="AH14" s="110">
        <f t="shared" si="6"/>
        <v>951.9</v>
      </c>
      <c r="AI14" s="110">
        <f t="shared" si="6"/>
        <v>1359.9</v>
      </c>
      <c r="AJ14" s="124">
        <v>465.2</v>
      </c>
      <c r="AK14" s="43">
        <f t="shared" si="15"/>
        <v>38.766666666666666</v>
      </c>
      <c r="AL14" s="124">
        <v>625.9</v>
      </c>
      <c r="AM14" s="43">
        <f t="shared" si="7"/>
        <v>52.158333333333331</v>
      </c>
      <c r="AN14" s="42">
        <v>512.70000000000005</v>
      </c>
      <c r="AO14" s="43">
        <f t="shared" si="16"/>
        <v>42.725000000000001</v>
      </c>
      <c r="AP14" s="110">
        <f t="shared" si="17"/>
        <v>769</v>
      </c>
      <c r="AQ14" s="42">
        <v>503</v>
      </c>
      <c r="AR14" s="43">
        <f t="shared" si="18"/>
        <v>41.916666666666664</v>
      </c>
      <c r="AS14" s="110">
        <f t="shared" si="19"/>
        <v>653.9</v>
      </c>
      <c r="AT14" s="110">
        <f t="shared" si="19"/>
        <v>729.3</v>
      </c>
      <c r="AU14" s="42">
        <v>497.1</v>
      </c>
      <c r="AV14" s="43">
        <f t="shared" si="20"/>
        <v>41.425000000000004</v>
      </c>
      <c r="AW14" s="42">
        <v>497.75</v>
      </c>
      <c r="AX14" s="43">
        <f t="shared" si="21"/>
        <v>41.479166666666664</v>
      </c>
      <c r="AY14" s="42">
        <v>507.3</v>
      </c>
      <c r="AZ14" s="43">
        <f t="shared" si="22"/>
        <v>42.274999999999999</v>
      </c>
      <c r="BA14" s="175">
        <f t="shared" si="8"/>
        <v>323.10000000000002</v>
      </c>
      <c r="BB14" s="125">
        <f>RCFs!I$41</f>
        <v>26.931999999999999</v>
      </c>
    </row>
    <row r="15" spans="1:54" x14ac:dyDescent="0.2">
      <c r="A15" s="44" t="s">
        <v>7</v>
      </c>
      <c r="B15" s="45" t="s">
        <v>8</v>
      </c>
      <c r="C15" s="46">
        <v>5</v>
      </c>
      <c r="D15" s="42">
        <f t="shared" si="0"/>
        <v>319.89999999999998</v>
      </c>
      <c r="E15" s="123">
        <f>RCFs!C$43</f>
        <v>63.983120993999997</v>
      </c>
      <c r="F15" s="124">
        <f t="shared" si="1"/>
        <v>126.8</v>
      </c>
      <c r="G15" s="39">
        <f t="shared" si="9"/>
        <v>25.36</v>
      </c>
      <c r="H15" s="124">
        <v>131.80000000000001</v>
      </c>
      <c r="I15" s="39">
        <f t="shared" si="10"/>
        <v>26.360000000000003</v>
      </c>
      <c r="J15" s="111">
        <f t="shared" si="2"/>
        <v>145</v>
      </c>
      <c r="K15" s="111">
        <f t="shared" si="2"/>
        <v>180.6</v>
      </c>
      <c r="L15" s="111">
        <f t="shared" si="2"/>
        <v>193.7</v>
      </c>
      <c r="M15" s="111">
        <f t="shared" si="2"/>
        <v>213.5</v>
      </c>
      <c r="N15" s="111">
        <f t="shared" si="2"/>
        <v>263.60000000000002</v>
      </c>
      <c r="O15" s="111">
        <f t="shared" si="2"/>
        <v>283.39999999999998</v>
      </c>
      <c r="P15" s="111">
        <f t="shared" si="2"/>
        <v>395.4</v>
      </c>
      <c r="Q15" s="124">
        <v>134.19999999999999</v>
      </c>
      <c r="R15" s="43">
        <f t="shared" si="11"/>
        <v>26.839999999999996</v>
      </c>
      <c r="S15" s="111">
        <f t="shared" si="23"/>
        <v>174.4</v>
      </c>
      <c r="T15" s="111">
        <f t="shared" si="12"/>
        <v>201.3</v>
      </c>
      <c r="U15" s="124">
        <v>123.8</v>
      </c>
      <c r="V15" s="43">
        <f t="shared" si="13"/>
        <v>24.759999999999998</v>
      </c>
      <c r="W15" s="124">
        <v>131.69999999999999</v>
      </c>
      <c r="X15" s="43">
        <f t="shared" si="3"/>
        <v>26.339999999999996</v>
      </c>
      <c r="Y15" s="111">
        <f t="shared" si="14"/>
        <v>144.80000000000001</v>
      </c>
      <c r="Z15" s="111">
        <f t="shared" si="4"/>
        <v>180.4</v>
      </c>
      <c r="AA15" s="111">
        <f t="shared" si="4"/>
        <v>213.3</v>
      </c>
      <c r="AB15" s="111">
        <f t="shared" si="4"/>
        <v>193.5</v>
      </c>
      <c r="AC15" s="111">
        <f t="shared" si="4"/>
        <v>285.7</v>
      </c>
      <c r="AD15" s="111">
        <f t="shared" si="4"/>
        <v>395.1</v>
      </c>
      <c r="AE15" s="42">
        <v>126.3</v>
      </c>
      <c r="AF15" s="125">
        <f t="shared" si="5"/>
        <v>25.259999999999998</v>
      </c>
      <c r="AG15" s="110">
        <f t="shared" si="6"/>
        <v>208.4</v>
      </c>
      <c r="AH15" s="110">
        <f t="shared" si="6"/>
        <v>265.2</v>
      </c>
      <c r="AI15" s="110">
        <f t="shared" si="6"/>
        <v>378.9</v>
      </c>
      <c r="AJ15" s="124">
        <v>132.5</v>
      </c>
      <c r="AK15" s="43">
        <f t="shared" si="15"/>
        <v>26.5</v>
      </c>
      <c r="AL15" s="124">
        <v>178.5</v>
      </c>
      <c r="AM15" s="43">
        <f t="shared" si="7"/>
        <v>35.700000000000003</v>
      </c>
      <c r="AN15" s="42">
        <v>142.6</v>
      </c>
      <c r="AO15" s="43">
        <f t="shared" si="16"/>
        <v>28.52</v>
      </c>
      <c r="AP15" s="110">
        <f t="shared" si="17"/>
        <v>213.9</v>
      </c>
      <c r="AQ15" s="42">
        <v>139.6</v>
      </c>
      <c r="AR15" s="43">
        <f t="shared" si="18"/>
        <v>27.919999999999998</v>
      </c>
      <c r="AS15" s="110">
        <f t="shared" si="19"/>
        <v>181.4</v>
      </c>
      <c r="AT15" s="110">
        <f t="shared" si="19"/>
        <v>202.4</v>
      </c>
      <c r="AU15" s="42">
        <v>138.1</v>
      </c>
      <c r="AV15" s="43">
        <f t="shared" si="20"/>
        <v>27.619999999999997</v>
      </c>
      <c r="AW15" s="42">
        <v>138.27000000000001</v>
      </c>
      <c r="AX15" s="43">
        <f t="shared" si="21"/>
        <v>27.654000000000003</v>
      </c>
      <c r="AY15" s="42">
        <v>140.9</v>
      </c>
      <c r="AZ15" s="43">
        <f t="shared" si="22"/>
        <v>28.18</v>
      </c>
      <c r="BA15" s="175">
        <f t="shared" si="8"/>
        <v>134.6</v>
      </c>
      <c r="BB15" s="125">
        <f>RCFs!I$41</f>
        <v>26.931999999999999</v>
      </c>
    </row>
    <row r="16" spans="1:54" x14ac:dyDescent="0.2">
      <c r="A16" s="176" t="s">
        <v>157</v>
      </c>
      <c r="B16" s="129" t="s">
        <v>158</v>
      </c>
      <c r="C16" s="177">
        <v>9</v>
      </c>
      <c r="D16" s="124">
        <f t="shared" ref="D16" si="24">ROUND(E16*C16,1)</f>
        <v>575.79999999999995</v>
      </c>
      <c r="E16" s="123">
        <f>RCFs!C$43</f>
        <v>63.983120993999997</v>
      </c>
      <c r="F16" s="124">
        <f t="shared" si="1"/>
        <v>228.1</v>
      </c>
      <c r="G16" s="39">
        <f t="shared" si="9"/>
        <v>25.344444444444445</v>
      </c>
      <c r="H16" s="124">
        <v>237</v>
      </c>
      <c r="I16" s="39">
        <f t="shared" ref="I16" si="25">H16/C16</f>
        <v>26.333333333333332</v>
      </c>
      <c r="J16" s="111">
        <f t="shared" si="2"/>
        <v>260.7</v>
      </c>
      <c r="K16" s="111">
        <f t="shared" si="2"/>
        <v>324.7</v>
      </c>
      <c r="L16" s="111">
        <f t="shared" si="2"/>
        <v>348.4</v>
      </c>
      <c r="M16" s="111">
        <f t="shared" si="2"/>
        <v>383.9</v>
      </c>
      <c r="N16" s="111">
        <f t="shared" si="2"/>
        <v>474</v>
      </c>
      <c r="O16" s="111">
        <f t="shared" si="2"/>
        <v>509.6</v>
      </c>
      <c r="P16" s="111">
        <f t="shared" si="2"/>
        <v>711</v>
      </c>
      <c r="Q16" s="124">
        <v>240.9</v>
      </c>
      <c r="R16" s="43">
        <f t="shared" si="11"/>
        <v>26.766666666666666</v>
      </c>
      <c r="S16" s="111">
        <f t="shared" si="23"/>
        <v>313.10000000000002</v>
      </c>
      <c r="T16" s="111">
        <f t="shared" si="12"/>
        <v>361.3</v>
      </c>
      <c r="U16" s="124">
        <v>222.8</v>
      </c>
      <c r="V16" s="43">
        <f t="shared" si="13"/>
        <v>24.755555555555556</v>
      </c>
      <c r="W16" s="124">
        <v>237.1</v>
      </c>
      <c r="X16" s="43">
        <f t="shared" si="3"/>
        <v>26.344444444444445</v>
      </c>
      <c r="Y16" s="111">
        <f t="shared" si="14"/>
        <v>260.8</v>
      </c>
      <c r="Z16" s="111">
        <f t="shared" si="4"/>
        <v>324.8</v>
      </c>
      <c r="AA16" s="111">
        <f t="shared" si="4"/>
        <v>384.1</v>
      </c>
      <c r="AB16" s="111">
        <f t="shared" si="4"/>
        <v>348.5</v>
      </c>
      <c r="AC16" s="111">
        <f t="shared" si="4"/>
        <v>514.5</v>
      </c>
      <c r="AD16" s="111">
        <f t="shared" si="4"/>
        <v>711.3</v>
      </c>
      <c r="AE16" s="42">
        <v>226.6</v>
      </c>
      <c r="AF16" s="125">
        <f t="shared" si="5"/>
        <v>25.177777777777777</v>
      </c>
      <c r="AG16" s="110">
        <f t="shared" si="6"/>
        <v>373.9</v>
      </c>
      <c r="AH16" s="110">
        <f t="shared" si="6"/>
        <v>475.9</v>
      </c>
      <c r="AI16" s="110">
        <f t="shared" si="6"/>
        <v>679.8</v>
      </c>
      <c r="AJ16" s="124">
        <v>238.6</v>
      </c>
      <c r="AK16" s="43">
        <f t="shared" si="15"/>
        <v>26.511111111111109</v>
      </c>
      <c r="AL16" s="124">
        <v>320.8</v>
      </c>
      <c r="AM16" s="43">
        <f t="shared" ref="AM16" si="26">AL16/C16</f>
        <v>35.644444444444446</v>
      </c>
      <c r="AN16" s="42">
        <v>256.2</v>
      </c>
      <c r="AO16" s="43">
        <f t="shared" si="16"/>
        <v>28.466666666666665</v>
      </c>
      <c r="AP16" s="110">
        <f t="shared" si="17"/>
        <v>384.3</v>
      </c>
      <c r="AQ16" s="42">
        <v>251.5</v>
      </c>
      <c r="AR16" s="43">
        <f t="shared" si="18"/>
        <v>27.944444444444443</v>
      </c>
      <c r="AS16" s="110">
        <f t="shared" si="19"/>
        <v>326.89999999999998</v>
      </c>
      <c r="AT16" s="110">
        <f t="shared" si="19"/>
        <v>364.6</v>
      </c>
      <c r="AU16" s="42">
        <v>248.9</v>
      </c>
      <c r="AV16" s="43">
        <f t="shared" si="20"/>
        <v>27.655555555555555</v>
      </c>
      <c r="AW16" s="42">
        <v>248.88</v>
      </c>
      <c r="AX16" s="43">
        <f t="shared" si="21"/>
        <v>27.653333333333332</v>
      </c>
      <c r="AY16" s="42">
        <v>253.6</v>
      </c>
      <c r="AZ16" s="43">
        <f t="shared" si="22"/>
        <v>28.177777777777777</v>
      </c>
      <c r="BA16" s="175">
        <f t="shared" si="8"/>
        <v>242.3</v>
      </c>
      <c r="BB16" s="125">
        <f>RCFs!I$41</f>
        <v>26.931999999999999</v>
      </c>
    </row>
    <row r="17" spans="1:54" x14ac:dyDescent="0.2">
      <c r="A17" s="201" t="s">
        <v>213</v>
      </c>
      <c r="B17" s="274" t="s">
        <v>214</v>
      </c>
      <c r="C17" s="248">
        <v>8</v>
      </c>
      <c r="D17" s="124">
        <f t="shared" ref="D17" si="27">ROUND(E17*C17,1)</f>
        <v>511.9</v>
      </c>
      <c r="E17" s="123">
        <f>RCFs!C$43</f>
        <v>63.983120993999997</v>
      </c>
      <c r="F17" s="251">
        <f t="shared" si="1"/>
        <v>0</v>
      </c>
      <c r="G17" s="39">
        <f t="shared" ref="G17" si="28">F17/C17</f>
        <v>0</v>
      </c>
      <c r="H17" s="124">
        <v>0</v>
      </c>
      <c r="I17" s="39">
        <f t="shared" ref="I17" si="29">H17/C17</f>
        <v>0</v>
      </c>
      <c r="J17" s="111">
        <f t="shared" si="2"/>
        <v>0</v>
      </c>
      <c r="K17" s="111">
        <f t="shared" si="2"/>
        <v>0</v>
      </c>
      <c r="L17" s="111">
        <f t="shared" si="2"/>
        <v>0</v>
      </c>
      <c r="M17" s="111">
        <f t="shared" si="2"/>
        <v>0</v>
      </c>
      <c r="N17" s="111">
        <f t="shared" si="2"/>
        <v>0</v>
      </c>
      <c r="O17" s="111">
        <f t="shared" si="2"/>
        <v>0</v>
      </c>
      <c r="P17" s="111">
        <f t="shared" si="2"/>
        <v>0</v>
      </c>
      <c r="Q17" s="251">
        <f>Q19</f>
        <v>214.1</v>
      </c>
      <c r="R17" s="254">
        <f t="shared" ref="R17" si="30">Q17/C17</f>
        <v>26.762499999999999</v>
      </c>
      <c r="S17" s="111">
        <f t="shared" si="23"/>
        <v>278.3</v>
      </c>
      <c r="T17" s="111">
        <f t="shared" si="12"/>
        <v>321.10000000000002</v>
      </c>
      <c r="U17" s="251">
        <f>U19</f>
        <v>198.4</v>
      </c>
      <c r="V17" s="43">
        <f t="shared" ref="V17" si="31">U17/C17</f>
        <v>24.8</v>
      </c>
      <c r="W17" s="251">
        <f>W19</f>
        <v>211.2</v>
      </c>
      <c r="X17" s="43">
        <f t="shared" ref="X17" si="32">W17/C17</f>
        <v>26.4</v>
      </c>
      <c r="Y17" s="111">
        <f t="shared" si="14"/>
        <v>232.3</v>
      </c>
      <c r="Z17" s="111">
        <f t="shared" si="4"/>
        <v>289.3</v>
      </c>
      <c r="AA17" s="111">
        <f t="shared" si="4"/>
        <v>342.1</v>
      </c>
      <c r="AB17" s="111">
        <f t="shared" si="4"/>
        <v>310.39999999999998</v>
      </c>
      <c r="AC17" s="111">
        <f t="shared" si="4"/>
        <v>458.3</v>
      </c>
      <c r="AD17" s="111">
        <f t="shared" si="4"/>
        <v>633.6</v>
      </c>
      <c r="AE17" s="249">
        <v>201.2</v>
      </c>
      <c r="AF17" s="125">
        <f t="shared" ref="AF17" si="33">AE17/C17</f>
        <v>25.15</v>
      </c>
      <c r="AG17" s="110">
        <f t="shared" si="6"/>
        <v>332</v>
      </c>
      <c r="AH17" s="110">
        <f t="shared" si="6"/>
        <v>422.5</v>
      </c>
      <c r="AI17" s="110">
        <f t="shared" si="6"/>
        <v>603.6</v>
      </c>
      <c r="AJ17" s="251">
        <v>716.4</v>
      </c>
      <c r="AK17" s="43">
        <f t="shared" ref="AK17" si="34">AJ17/C17</f>
        <v>89.55</v>
      </c>
      <c r="AL17" s="124">
        <v>964</v>
      </c>
      <c r="AM17" s="43">
        <f t="shared" ref="AM17" si="35">AL17/C17</f>
        <v>120.5</v>
      </c>
      <c r="AN17" s="42">
        <v>0</v>
      </c>
      <c r="AO17" s="43">
        <f t="shared" si="16"/>
        <v>0</v>
      </c>
      <c r="AP17" s="110">
        <f t="shared" si="17"/>
        <v>0</v>
      </c>
      <c r="AQ17" s="42">
        <v>0</v>
      </c>
      <c r="AR17" s="43">
        <f t="shared" ref="AR17:AR20" si="36">AR$11</f>
        <v>27.92</v>
      </c>
      <c r="AS17" s="110">
        <f t="shared" si="19"/>
        <v>0</v>
      </c>
      <c r="AT17" s="110">
        <f t="shared" si="19"/>
        <v>0</v>
      </c>
      <c r="AU17" s="42">
        <v>220.9</v>
      </c>
      <c r="AV17" s="43">
        <f t="shared" ref="AV17" si="37">AU17/C17</f>
        <v>27.612500000000001</v>
      </c>
      <c r="AW17" s="42">
        <v>0</v>
      </c>
      <c r="AX17" s="43">
        <f t="shared" si="21"/>
        <v>0</v>
      </c>
      <c r="AY17" s="249">
        <f>AY19</f>
        <v>225.45</v>
      </c>
      <c r="AZ17" s="43">
        <f t="shared" ref="AZ17" si="38">AY17/C17</f>
        <v>28.181249999999999</v>
      </c>
      <c r="BA17" s="175">
        <f t="shared" ref="BA17" si="39">ROUNDDOWN(C17*BB17,1)</f>
        <v>215.4</v>
      </c>
      <c r="BB17" s="125">
        <f>RCFs!I$41</f>
        <v>26.931999999999999</v>
      </c>
    </row>
    <row r="18" spans="1:54" x14ac:dyDescent="0.2">
      <c r="A18" s="44" t="s">
        <v>9</v>
      </c>
      <c r="B18" s="275" t="s">
        <v>10</v>
      </c>
      <c r="C18" s="46">
        <v>6</v>
      </c>
      <c r="D18" s="124">
        <f t="shared" si="0"/>
        <v>383.9</v>
      </c>
      <c r="E18" s="123">
        <f>RCFs!C$43</f>
        <v>63.983120993999997</v>
      </c>
      <c r="F18" s="124">
        <f t="shared" si="1"/>
        <v>152</v>
      </c>
      <c r="G18" s="39">
        <f t="shared" si="9"/>
        <v>25.333333333333332</v>
      </c>
      <c r="H18" s="124">
        <v>158</v>
      </c>
      <c r="I18" s="39">
        <f t="shared" si="10"/>
        <v>26.333333333333332</v>
      </c>
      <c r="J18" s="111">
        <f t="shared" si="2"/>
        <v>173.8</v>
      </c>
      <c r="K18" s="111">
        <f t="shared" si="2"/>
        <v>216.5</v>
      </c>
      <c r="L18" s="111">
        <f t="shared" si="2"/>
        <v>232.3</v>
      </c>
      <c r="M18" s="111">
        <f t="shared" si="2"/>
        <v>256</v>
      </c>
      <c r="N18" s="111">
        <f t="shared" si="2"/>
        <v>316</v>
      </c>
      <c r="O18" s="111">
        <f t="shared" si="2"/>
        <v>339.7</v>
      </c>
      <c r="P18" s="111">
        <f t="shared" si="2"/>
        <v>474</v>
      </c>
      <c r="Q18" s="42">
        <f t="shared" ref="Q18:Q20" si="40">ROUNDDOWN(C18*R18,1)</f>
        <v>160.6</v>
      </c>
      <c r="R18" s="43">
        <f t="shared" ref="R18:R20" si="41">R$11</f>
        <v>26.773333333333333</v>
      </c>
      <c r="S18" s="111">
        <f t="shared" si="23"/>
        <v>208.7</v>
      </c>
      <c r="T18" s="111">
        <f t="shared" si="12"/>
        <v>240.9</v>
      </c>
      <c r="U18" s="124">
        <v>148.80000000000001</v>
      </c>
      <c r="V18" s="43">
        <f t="shared" si="13"/>
        <v>24.8</v>
      </c>
      <c r="W18" s="124">
        <v>158.5</v>
      </c>
      <c r="X18" s="43">
        <f t="shared" si="3"/>
        <v>26.416666666666668</v>
      </c>
      <c r="Y18" s="111">
        <f t="shared" si="14"/>
        <v>174.3</v>
      </c>
      <c r="Z18" s="111">
        <f t="shared" si="4"/>
        <v>217.1</v>
      </c>
      <c r="AA18" s="111">
        <f t="shared" si="4"/>
        <v>256.7</v>
      </c>
      <c r="AB18" s="111">
        <f t="shared" si="4"/>
        <v>232.9</v>
      </c>
      <c r="AC18" s="111">
        <f t="shared" si="4"/>
        <v>343.9</v>
      </c>
      <c r="AD18" s="111">
        <f t="shared" si="4"/>
        <v>475.5</v>
      </c>
      <c r="AE18" s="42">
        <v>151.30000000000001</v>
      </c>
      <c r="AF18" s="125">
        <f t="shared" si="5"/>
        <v>25.216666666666669</v>
      </c>
      <c r="AG18" s="110">
        <f t="shared" si="6"/>
        <v>249.6</v>
      </c>
      <c r="AH18" s="110">
        <f t="shared" si="6"/>
        <v>317.7</v>
      </c>
      <c r="AI18" s="110">
        <f t="shared" si="6"/>
        <v>453.9</v>
      </c>
      <c r="AJ18" s="124">
        <v>159</v>
      </c>
      <c r="AK18" s="43">
        <f t="shared" si="15"/>
        <v>26.5</v>
      </c>
      <c r="AL18" s="124">
        <v>214</v>
      </c>
      <c r="AM18" s="43">
        <f t="shared" si="7"/>
        <v>35.666666666666664</v>
      </c>
      <c r="AN18" s="42">
        <v>171</v>
      </c>
      <c r="AO18" s="43">
        <f t="shared" si="16"/>
        <v>28.5</v>
      </c>
      <c r="AP18" s="110">
        <f t="shared" si="17"/>
        <v>256.5</v>
      </c>
      <c r="AQ18" s="175">
        <f>ROUNDDOWN(AR18*C18,1)</f>
        <v>167.5</v>
      </c>
      <c r="AR18" s="43">
        <f t="shared" si="36"/>
        <v>27.92</v>
      </c>
      <c r="AS18" s="110">
        <f t="shared" si="19"/>
        <v>217.7</v>
      </c>
      <c r="AT18" s="110">
        <f t="shared" si="19"/>
        <v>242.8</v>
      </c>
      <c r="AU18" s="42">
        <v>165.8</v>
      </c>
      <c r="AV18" s="43">
        <f t="shared" si="20"/>
        <v>27.633333333333336</v>
      </c>
      <c r="AW18" s="42">
        <v>165.92</v>
      </c>
      <c r="AX18" s="43">
        <f t="shared" si="21"/>
        <v>27.653333333333332</v>
      </c>
      <c r="AY18" s="42">
        <v>169.09</v>
      </c>
      <c r="AZ18" s="43">
        <f t="shared" si="22"/>
        <v>28.181666666666668</v>
      </c>
      <c r="BA18" s="175">
        <f t="shared" si="8"/>
        <v>161.5</v>
      </c>
      <c r="BB18" s="125">
        <f>RCFs!I$41</f>
        <v>26.931999999999999</v>
      </c>
    </row>
    <row r="19" spans="1:54" x14ac:dyDescent="0.2">
      <c r="A19" s="44" t="s">
        <v>11</v>
      </c>
      <c r="B19" s="275" t="s">
        <v>215</v>
      </c>
      <c r="C19" s="46">
        <v>8</v>
      </c>
      <c r="D19" s="124">
        <f t="shared" si="0"/>
        <v>511.9</v>
      </c>
      <c r="E19" s="123">
        <f>RCFs!C$43</f>
        <v>63.983120993999997</v>
      </c>
      <c r="F19" s="124">
        <f t="shared" si="1"/>
        <v>202.5</v>
      </c>
      <c r="G19" s="39">
        <f t="shared" si="9"/>
        <v>25.3125</v>
      </c>
      <c r="H19" s="124">
        <v>210.5</v>
      </c>
      <c r="I19" s="39">
        <f t="shared" si="10"/>
        <v>26.3125</v>
      </c>
      <c r="J19" s="111">
        <f t="shared" si="2"/>
        <v>231.6</v>
      </c>
      <c r="K19" s="111">
        <f t="shared" si="2"/>
        <v>288.39999999999998</v>
      </c>
      <c r="L19" s="111">
        <f t="shared" si="2"/>
        <v>309.39999999999998</v>
      </c>
      <c r="M19" s="111">
        <f t="shared" si="2"/>
        <v>341</v>
      </c>
      <c r="N19" s="111">
        <f t="shared" si="2"/>
        <v>421</v>
      </c>
      <c r="O19" s="111">
        <f t="shared" si="2"/>
        <v>452.6</v>
      </c>
      <c r="P19" s="111">
        <f t="shared" si="2"/>
        <v>631.5</v>
      </c>
      <c r="Q19" s="42">
        <f t="shared" si="40"/>
        <v>214.1</v>
      </c>
      <c r="R19" s="43">
        <f t="shared" si="41"/>
        <v>26.773333333333333</v>
      </c>
      <c r="S19" s="111">
        <f t="shared" si="23"/>
        <v>278.3</v>
      </c>
      <c r="T19" s="111">
        <f t="shared" si="12"/>
        <v>321.10000000000002</v>
      </c>
      <c r="U19" s="124">
        <v>198.4</v>
      </c>
      <c r="V19" s="43">
        <f t="shared" si="13"/>
        <v>24.8</v>
      </c>
      <c r="W19" s="124">
        <v>211.2</v>
      </c>
      <c r="X19" s="43">
        <f t="shared" si="3"/>
        <v>26.4</v>
      </c>
      <c r="Y19" s="111">
        <f t="shared" si="14"/>
        <v>232.3</v>
      </c>
      <c r="Z19" s="111">
        <f t="shared" si="4"/>
        <v>289.3</v>
      </c>
      <c r="AA19" s="111">
        <f t="shared" si="4"/>
        <v>342.1</v>
      </c>
      <c r="AB19" s="111">
        <f t="shared" si="4"/>
        <v>310.39999999999998</v>
      </c>
      <c r="AC19" s="111">
        <f t="shared" si="4"/>
        <v>458.3</v>
      </c>
      <c r="AD19" s="111">
        <f t="shared" si="4"/>
        <v>633.6</v>
      </c>
      <c r="AE19" s="42">
        <v>201.2</v>
      </c>
      <c r="AF19" s="125">
        <f t="shared" si="5"/>
        <v>25.15</v>
      </c>
      <c r="AG19" s="110">
        <f t="shared" si="6"/>
        <v>332</v>
      </c>
      <c r="AH19" s="110">
        <f t="shared" si="6"/>
        <v>422.5</v>
      </c>
      <c r="AI19" s="110">
        <f t="shared" si="6"/>
        <v>603.6</v>
      </c>
      <c r="AJ19" s="124">
        <v>212.2</v>
      </c>
      <c r="AK19" s="43">
        <f t="shared" si="15"/>
        <v>26.524999999999999</v>
      </c>
      <c r="AL19" s="124">
        <v>285.39999999999998</v>
      </c>
      <c r="AM19" s="43">
        <f t="shared" si="7"/>
        <v>35.674999999999997</v>
      </c>
      <c r="AN19" s="42">
        <v>228.1</v>
      </c>
      <c r="AO19" s="43">
        <f t="shared" si="16"/>
        <v>28.512499999999999</v>
      </c>
      <c r="AP19" s="110">
        <f t="shared" si="17"/>
        <v>342.1</v>
      </c>
      <c r="AQ19" s="175">
        <f>ROUNDDOWN(AR19*C19,1)</f>
        <v>223.3</v>
      </c>
      <c r="AR19" s="43">
        <f t="shared" si="36"/>
        <v>27.92</v>
      </c>
      <c r="AS19" s="110">
        <f t="shared" si="19"/>
        <v>290.2</v>
      </c>
      <c r="AT19" s="110">
        <f t="shared" si="19"/>
        <v>323.7</v>
      </c>
      <c r="AU19" s="42">
        <v>220.9</v>
      </c>
      <c r="AV19" s="43">
        <f t="shared" si="20"/>
        <v>27.612500000000001</v>
      </c>
      <c r="AW19" s="42">
        <v>221.22</v>
      </c>
      <c r="AX19" s="43">
        <f t="shared" si="21"/>
        <v>27.6525</v>
      </c>
      <c r="AY19" s="42">
        <v>225.45</v>
      </c>
      <c r="AZ19" s="43">
        <f t="shared" si="22"/>
        <v>28.181249999999999</v>
      </c>
      <c r="BA19" s="175">
        <f t="shared" si="8"/>
        <v>215.4</v>
      </c>
      <c r="BB19" s="125">
        <f>RCFs!I$41</f>
        <v>26.931999999999999</v>
      </c>
    </row>
    <row r="20" spans="1:54" x14ac:dyDescent="0.2">
      <c r="A20" s="44" t="s">
        <v>12</v>
      </c>
      <c r="B20" s="275" t="s">
        <v>216</v>
      </c>
      <c r="C20" s="46">
        <v>14</v>
      </c>
      <c r="D20" s="124">
        <f t="shared" si="0"/>
        <v>895.8</v>
      </c>
      <c r="E20" s="123">
        <f>RCFs!C$43</f>
        <v>63.983120993999997</v>
      </c>
      <c r="F20" s="124">
        <f t="shared" si="1"/>
        <v>354.8</v>
      </c>
      <c r="G20" s="39">
        <f t="shared" si="9"/>
        <v>25.342857142857145</v>
      </c>
      <c r="H20" s="124">
        <v>368.7</v>
      </c>
      <c r="I20" s="39">
        <f t="shared" si="10"/>
        <v>26.335714285714285</v>
      </c>
      <c r="J20" s="111">
        <f t="shared" si="2"/>
        <v>405.6</v>
      </c>
      <c r="K20" s="111">
        <f t="shared" si="2"/>
        <v>505.1</v>
      </c>
      <c r="L20" s="111">
        <f t="shared" si="2"/>
        <v>542</v>
      </c>
      <c r="M20" s="111">
        <f t="shared" si="2"/>
        <v>597.29999999999995</v>
      </c>
      <c r="N20" s="111">
        <f t="shared" si="2"/>
        <v>737.4</v>
      </c>
      <c r="O20" s="111">
        <f t="shared" si="2"/>
        <v>792.7</v>
      </c>
      <c r="P20" s="111">
        <f t="shared" si="2"/>
        <v>1106.0999999999999</v>
      </c>
      <c r="Q20" s="42">
        <f t="shared" si="40"/>
        <v>374.8</v>
      </c>
      <c r="R20" s="43">
        <f t="shared" si="41"/>
        <v>26.773333333333333</v>
      </c>
      <c r="S20" s="111">
        <f t="shared" si="23"/>
        <v>487.2</v>
      </c>
      <c r="T20" s="111">
        <f t="shared" si="12"/>
        <v>562.20000000000005</v>
      </c>
      <c r="U20" s="124">
        <v>347.3</v>
      </c>
      <c r="V20" s="43">
        <f t="shared" si="13"/>
        <v>24.807142857142857</v>
      </c>
      <c r="W20" s="124">
        <v>370</v>
      </c>
      <c r="X20" s="43">
        <f t="shared" si="3"/>
        <v>26.428571428571427</v>
      </c>
      <c r="Y20" s="111">
        <f t="shared" si="14"/>
        <v>407</v>
      </c>
      <c r="Z20" s="111">
        <f t="shared" si="4"/>
        <v>506.9</v>
      </c>
      <c r="AA20" s="111">
        <f t="shared" si="4"/>
        <v>599.4</v>
      </c>
      <c r="AB20" s="111">
        <f t="shared" si="4"/>
        <v>543.9</v>
      </c>
      <c r="AC20" s="111">
        <f t="shared" si="4"/>
        <v>802.9</v>
      </c>
      <c r="AD20" s="111">
        <f t="shared" si="4"/>
        <v>1110</v>
      </c>
      <c r="AE20" s="42">
        <v>352.8</v>
      </c>
      <c r="AF20" s="125">
        <f t="shared" si="5"/>
        <v>25.2</v>
      </c>
      <c r="AG20" s="110">
        <f t="shared" si="6"/>
        <v>582.1</v>
      </c>
      <c r="AH20" s="110">
        <f t="shared" si="6"/>
        <v>740.9</v>
      </c>
      <c r="AI20" s="110">
        <f t="shared" si="6"/>
        <v>1058.4000000000001</v>
      </c>
      <c r="AJ20" s="124">
        <v>371.1</v>
      </c>
      <c r="AK20" s="43">
        <f t="shared" si="15"/>
        <v>26.50714285714286</v>
      </c>
      <c r="AL20" s="124">
        <v>499.3</v>
      </c>
      <c r="AM20" s="43">
        <f t="shared" si="7"/>
        <v>35.664285714285718</v>
      </c>
      <c r="AN20" s="42">
        <v>398.8</v>
      </c>
      <c r="AO20" s="43">
        <f t="shared" si="16"/>
        <v>28.485714285714288</v>
      </c>
      <c r="AP20" s="110">
        <f t="shared" si="17"/>
        <v>598.20000000000005</v>
      </c>
      <c r="AQ20" s="175">
        <f>ROUNDDOWN(AR20*C20,1)</f>
        <v>390.8</v>
      </c>
      <c r="AR20" s="43">
        <f t="shared" si="36"/>
        <v>27.92</v>
      </c>
      <c r="AS20" s="110">
        <f t="shared" si="19"/>
        <v>508</v>
      </c>
      <c r="AT20" s="110">
        <f t="shared" si="19"/>
        <v>566.6</v>
      </c>
      <c r="AU20" s="42">
        <v>386.6</v>
      </c>
      <c r="AV20" s="43">
        <f t="shared" si="20"/>
        <v>27.614285714285717</v>
      </c>
      <c r="AW20" s="42">
        <v>387.14</v>
      </c>
      <c r="AX20" s="43">
        <f t="shared" si="21"/>
        <v>27.65285714285714</v>
      </c>
      <c r="AY20" s="42">
        <v>394.53</v>
      </c>
      <c r="AZ20" s="43">
        <f t="shared" si="22"/>
        <v>28.180714285714284</v>
      </c>
      <c r="BA20" s="175">
        <f t="shared" ref="BA20:BA22" si="42">ROUNDDOWN(C20*BB20,1)</f>
        <v>377</v>
      </c>
      <c r="BB20" s="125">
        <f>RCFs!I$41</f>
        <v>26.931999999999999</v>
      </c>
    </row>
    <row r="21" spans="1:54" x14ac:dyDescent="0.2">
      <c r="A21" s="176" t="s">
        <v>159</v>
      </c>
      <c r="B21" s="129" t="s">
        <v>160</v>
      </c>
      <c r="C21" s="130"/>
      <c r="D21" s="124">
        <v>0</v>
      </c>
      <c r="E21" s="124">
        <v>0</v>
      </c>
      <c r="F21" s="42">
        <f t="shared" si="1"/>
        <v>0</v>
      </c>
      <c r="G21" s="42">
        <v>0</v>
      </c>
      <c r="H21" s="124">
        <v>0</v>
      </c>
      <c r="I21" s="42">
        <v>0</v>
      </c>
      <c r="J21" s="111">
        <f t="shared" si="2"/>
        <v>0</v>
      </c>
      <c r="K21" s="111">
        <f t="shared" si="2"/>
        <v>0</v>
      </c>
      <c r="L21" s="111">
        <f t="shared" si="2"/>
        <v>0</v>
      </c>
      <c r="M21" s="111">
        <f t="shared" si="2"/>
        <v>0</v>
      </c>
      <c r="N21" s="111">
        <f t="shared" si="2"/>
        <v>0</v>
      </c>
      <c r="O21" s="111">
        <f t="shared" si="2"/>
        <v>0</v>
      </c>
      <c r="P21" s="111">
        <f t="shared" si="2"/>
        <v>0</v>
      </c>
      <c r="Q21" s="42">
        <v>0</v>
      </c>
      <c r="R21" s="43">
        <v>0</v>
      </c>
      <c r="S21" s="111">
        <f t="shared" si="23"/>
        <v>0</v>
      </c>
      <c r="T21" s="111">
        <f t="shared" si="12"/>
        <v>0</v>
      </c>
      <c r="U21" s="42">
        <v>0</v>
      </c>
      <c r="V21" s="43">
        <v>0</v>
      </c>
      <c r="W21" s="42">
        <v>0</v>
      </c>
      <c r="X21" s="43">
        <v>0</v>
      </c>
      <c r="Y21" s="111">
        <f t="shared" si="14"/>
        <v>0</v>
      </c>
      <c r="Z21" s="111">
        <f t="shared" si="4"/>
        <v>0</v>
      </c>
      <c r="AA21" s="111">
        <f t="shared" si="4"/>
        <v>0</v>
      </c>
      <c r="AB21" s="111">
        <f t="shared" si="4"/>
        <v>0</v>
      </c>
      <c r="AC21" s="111">
        <f t="shared" si="4"/>
        <v>0</v>
      </c>
      <c r="AD21" s="111">
        <f t="shared" si="4"/>
        <v>0</v>
      </c>
      <c r="AE21" s="42">
        <v>0</v>
      </c>
      <c r="AF21" s="42">
        <v>0</v>
      </c>
      <c r="AG21" s="110">
        <f t="shared" si="6"/>
        <v>0</v>
      </c>
      <c r="AH21" s="110">
        <f t="shared" si="6"/>
        <v>0</v>
      </c>
      <c r="AI21" s="110">
        <f t="shared" si="6"/>
        <v>0</v>
      </c>
      <c r="AJ21" s="42">
        <v>0</v>
      </c>
      <c r="AK21" s="125">
        <v>0</v>
      </c>
      <c r="AL21" s="42">
        <v>0</v>
      </c>
      <c r="AM21" s="43">
        <v>0</v>
      </c>
      <c r="AN21" s="42">
        <v>0</v>
      </c>
      <c r="AO21" s="43">
        <v>0</v>
      </c>
      <c r="AP21" s="110">
        <f t="shared" si="17"/>
        <v>0</v>
      </c>
      <c r="AQ21" s="124">
        <v>0</v>
      </c>
      <c r="AR21" s="43">
        <v>0</v>
      </c>
      <c r="AS21" s="110">
        <f t="shared" si="19"/>
        <v>0</v>
      </c>
      <c r="AT21" s="110">
        <f t="shared" si="19"/>
        <v>0</v>
      </c>
      <c r="AU21" s="42">
        <v>0</v>
      </c>
      <c r="AV21" s="43">
        <v>0</v>
      </c>
      <c r="AW21" s="124">
        <v>0</v>
      </c>
      <c r="AX21" s="43">
        <v>0</v>
      </c>
      <c r="AY21" s="42">
        <v>0</v>
      </c>
      <c r="AZ21" s="43">
        <v>0</v>
      </c>
      <c r="BA21" s="175">
        <f t="shared" si="42"/>
        <v>0</v>
      </c>
      <c r="BB21" s="42">
        <v>0</v>
      </c>
    </row>
    <row r="22" spans="1:54" x14ac:dyDescent="0.2">
      <c r="A22" s="44" t="s">
        <v>19</v>
      </c>
      <c r="B22" s="45" t="s">
        <v>25</v>
      </c>
      <c r="C22" s="46"/>
      <c r="D22" s="42">
        <v>0</v>
      </c>
      <c r="E22" s="42">
        <v>0</v>
      </c>
      <c r="F22" s="42">
        <f t="shared" si="1"/>
        <v>0</v>
      </c>
      <c r="G22" s="42">
        <v>0</v>
      </c>
      <c r="H22" s="124">
        <v>0</v>
      </c>
      <c r="I22" s="42">
        <v>0</v>
      </c>
      <c r="J22" s="111">
        <f t="shared" si="2"/>
        <v>0</v>
      </c>
      <c r="K22" s="111">
        <f t="shared" si="2"/>
        <v>0</v>
      </c>
      <c r="L22" s="111">
        <f t="shared" si="2"/>
        <v>0</v>
      </c>
      <c r="M22" s="111">
        <f t="shared" ref="M22:P30" si="43">ROUND($C22*$I22*M$6,1)</f>
        <v>0</v>
      </c>
      <c r="N22" s="111">
        <f t="shared" si="43"/>
        <v>0</v>
      </c>
      <c r="O22" s="111">
        <f t="shared" si="43"/>
        <v>0</v>
      </c>
      <c r="P22" s="111">
        <f t="shared" si="43"/>
        <v>0</v>
      </c>
      <c r="Q22" s="42">
        <v>0</v>
      </c>
      <c r="R22" s="43">
        <v>0</v>
      </c>
      <c r="S22" s="111">
        <f t="shared" si="23"/>
        <v>0</v>
      </c>
      <c r="T22" s="111">
        <f t="shared" si="12"/>
        <v>0</v>
      </c>
      <c r="U22" s="42">
        <v>0</v>
      </c>
      <c r="V22" s="43">
        <v>0</v>
      </c>
      <c r="W22" s="42">
        <v>0</v>
      </c>
      <c r="X22" s="43">
        <v>0</v>
      </c>
      <c r="Y22" s="111">
        <f t="shared" si="14"/>
        <v>0</v>
      </c>
      <c r="Z22" s="111">
        <f t="shared" si="4"/>
        <v>0</v>
      </c>
      <c r="AA22" s="111">
        <f t="shared" si="4"/>
        <v>0</v>
      </c>
      <c r="AB22" s="111">
        <f t="shared" si="4"/>
        <v>0</v>
      </c>
      <c r="AC22" s="111">
        <f t="shared" si="4"/>
        <v>0</v>
      </c>
      <c r="AD22" s="111">
        <f t="shared" si="4"/>
        <v>0</v>
      </c>
      <c r="AE22" s="42">
        <v>0</v>
      </c>
      <c r="AF22" s="42">
        <v>0</v>
      </c>
      <c r="AG22" s="110">
        <f t="shared" si="6"/>
        <v>0</v>
      </c>
      <c r="AH22" s="110">
        <f t="shared" si="6"/>
        <v>0</v>
      </c>
      <c r="AI22" s="110">
        <f t="shared" si="6"/>
        <v>0</v>
      </c>
      <c r="AJ22" s="42">
        <v>0</v>
      </c>
      <c r="AK22" s="125">
        <v>0</v>
      </c>
      <c r="AL22" s="42">
        <v>0</v>
      </c>
      <c r="AM22" s="43">
        <v>0</v>
      </c>
      <c r="AN22" s="42">
        <v>0</v>
      </c>
      <c r="AO22" s="43">
        <v>0</v>
      </c>
      <c r="AP22" s="110">
        <f t="shared" si="17"/>
        <v>0</v>
      </c>
      <c r="AQ22" s="124">
        <v>0</v>
      </c>
      <c r="AR22" s="43">
        <v>0</v>
      </c>
      <c r="AS22" s="110">
        <f t="shared" si="19"/>
        <v>0</v>
      </c>
      <c r="AT22" s="110">
        <f t="shared" si="19"/>
        <v>0</v>
      </c>
      <c r="AU22" s="42">
        <v>0</v>
      </c>
      <c r="AV22" s="43">
        <v>0</v>
      </c>
      <c r="AW22" s="124">
        <v>0</v>
      </c>
      <c r="AX22" s="43">
        <v>0</v>
      </c>
      <c r="AY22" s="42">
        <v>0</v>
      </c>
      <c r="AZ22" s="43">
        <v>0</v>
      </c>
      <c r="BA22" s="175">
        <f t="shared" si="42"/>
        <v>0</v>
      </c>
      <c r="BB22" s="42">
        <v>0</v>
      </c>
    </row>
    <row r="23" spans="1:54" x14ac:dyDescent="0.2">
      <c r="A23" s="44" t="s">
        <v>20</v>
      </c>
      <c r="B23" s="45" t="s">
        <v>62</v>
      </c>
      <c r="C23" s="46">
        <v>15</v>
      </c>
      <c r="D23" s="42">
        <f t="shared" si="0"/>
        <v>959.7</v>
      </c>
      <c r="E23" s="123">
        <f>RCFs!C$43</f>
        <v>63.983120993999997</v>
      </c>
      <c r="F23" s="124">
        <f t="shared" si="1"/>
        <v>658.9</v>
      </c>
      <c r="G23" s="39">
        <f t="shared" si="9"/>
        <v>43.926666666666662</v>
      </c>
      <c r="H23" s="124">
        <v>684.6</v>
      </c>
      <c r="I23" s="39">
        <f t="shared" si="10"/>
        <v>45.64</v>
      </c>
      <c r="J23" s="111">
        <f t="shared" si="2"/>
        <v>753.1</v>
      </c>
      <c r="K23" s="111">
        <f t="shared" si="2"/>
        <v>937.9</v>
      </c>
      <c r="L23" s="111">
        <f t="shared" si="2"/>
        <v>1006.4</v>
      </c>
      <c r="M23" s="111">
        <f t="shared" si="43"/>
        <v>1109.0999999999999</v>
      </c>
      <c r="N23" s="111">
        <f t="shared" si="43"/>
        <v>1369.2</v>
      </c>
      <c r="O23" s="111">
        <f t="shared" si="43"/>
        <v>1471.9</v>
      </c>
      <c r="P23" s="111">
        <f t="shared" si="43"/>
        <v>2053.8000000000002</v>
      </c>
      <c r="Q23" s="124">
        <v>696.1</v>
      </c>
      <c r="R23" s="43">
        <f t="shared" si="11"/>
        <v>46.406666666666666</v>
      </c>
      <c r="S23" s="111">
        <f t="shared" si="23"/>
        <v>904.9</v>
      </c>
      <c r="T23" s="111">
        <f t="shared" si="12"/>
        <v>1044.0999999999999</v>
      </c>
      <c r="U23" s="124">
        <v>646</v>
      </c>
      <c r="V23" s="43">
        <f t="shared" si="13"/>
        <v>43.06666666666667</v>
      </c>
      <c r="W23" s="124">
        <v>688.1</v>
      </c>
      <c r="X23" s="43">
        <f>W23/C23</f>
        <v>45.873333333333335</v>
      </c>
      <c r="Y23" s="111">
        <f t="shared" si="14"/>
        <v>756.9</v>
      </c>
      <c r="Z23" s="111">
        <f t="shared" si="4"/>
        <v>942.6</v>
      </c>
      <c r="AA23" s="111">
        <f t="shared" si="4"/>
        <v>1114.7</v>
      </c>
      <c r="AB23" s="111">
        <f t="shared" si="4"/>
        <v>1011.5</v>
      </c>
      <c r="AC23" s="111">
        <f t="shared" si="4"/>
        <v>1493.1</v>
      </c>
      <c r="AD23" s="111">
        <f t="shared" si="4"/>
        <v>2064.3000000000002</v>
      </c>
      <c r="AE23" s="42">
        <v>654.6</v>
      </c>
      <c r="AF23" s="43">
        <f t="shared" si="5"/>
        <v>43.64</v>
      </c>
      <c r="AG23" s="110">
        <f t="shared" si="6"/>
        <v>1080.0999999999999</v>
      </c>
      <c r="AH23" s="110">
        <f t="shared" si="6"/>
        <v>1374.7</v>
      </c>
      <c r="AI23" s="110">
        <f t="shared" si="6"/>
        <v>1963.8</v>
      </c>
      <c r="AJ23" s="124">
        <v>671.6</v>
      </c>
      <c r="AK23" s="43">
        <f t="shared" si="15"/>
        <v>44.773333333333333</v>
      </c>
      <c r="AL23" s="124">
        <v>903.9</v>
      </c>
      <c r="AM23" s="43">
        <f t="shared" si="7"/>
        <v>60.26</v>
      </c>
      <c r="AN23" s="42">
        <v>740.5</v>
      </c>
      <c r="AO23" s="43">
        <f t="shared" si="16"/>
        <v>49.366666666666667</v>
      </c>
      <c r="AP23" s="110">
        <f t="shared" si="17"/>
        <v>1110.7</v>
      </c>
      <c r="AQ23" s="42">
        <v>726.3</v>
      </c>
      <c r="AR23" s="43">
        <f t="shared" si="18"/>
        <v>48.419999999999995</v>
      </c>
      <c r="AS23" s="110">
        <f t="shared" si="19"/>
        <v>944.1</v>
      </c>
      <c r="AT23" s="110">
        <f t="shared" si="19"/>
        <v>1053.0999999999999</v>
      </c>
      <c r="AU23" s="42">
        <v>718.1</v>
      </c>
      <c r="AV23" s="43">
        <f t="shared" si="20"/>
        <v>47.873333333333335</v>
      </c>
      <c r="AW23" s="42">
        <v>718.98</v>
      </c>
      <c r="AX23" s="43">
        <f t="shared" si="21"/>
        <v>47.932000000000002</v>
      </c>
      <c r="AY23" s="42">
        <v>732.7</v>
      </c>
      <c r="AZ23" s="43">
        <f t="shared" ref="AZ23:AZ30" si="44">AY23/C23</f>
        <v>48.846666666666671</v>
      </c>
      <c r="BA23" s="124">
        <v>700.1</v>
      </c>
      <c r="BB23" s="125">
        <f t="shared" ref="BB23:BB28" si="45">BA23/C23</f>
        <v>46.673333333333332</v>
      </c>
    </row>
    <row r="24" spans="1:54" x14ac:dyDescent="0.2">
      <c r="A24" s="44" t="s">
        <v>21</v>
      </c>
      <c r="B24" s="45" t="s">
        <v>62</v>
      </c>
      <c r="C24" s="46">
        <v>30</v>
      </c>
      <c r="D24" s="42">
        <f t="shared" si="0"/>
        <v>1919.5</v>
      </c>
      <c r="E24" s="123">
        <f>RCFs!C$43</f>
        <v>63.983120993999997</v>
      </c>
      <c r="F24" s="124">
        <f t="shared" si="1"/>
        <v>658.9</v>
      </c>
      <c r="G24" s="39">
        <f t="shared" si="9"/>
        <v>21.963333333333331</v>
      </c>
      <c r="H24" s="124">
        <v>684.6</v>
      </c>
      <c r="I24" s="39">
        <f t="shared" si="10"/>
        <v>22.82</v>
      </c>
      <c r="J24" s="111">
        <f t="shared" si="2"/>
        <v>753.1</v>
      </c>
      <c r="K24" s="111">
        <f t="shared" si="2"/>
        <v>937.9</v>
      </c>
      <c r="L24" s="111">
        <f t="shared" si="2"/>
        <v>1006.4</v>
      </c>
      <c r="M24" s="111">
        <f t="shared" si="43"/>
        <v>1109.0999999999999</v>
      </c>
      <c r="N24" s="111">
        <f t="shared" si="43"/>
        <v>1369.2</v>
      </c>
      <c r="O24" s="111">
        <f t="shared" si="43"/>
        <v>1471.9</v>
      </c>
      <c r="P24" s="111">
        <f t="shared" si="43"/>
        <v>2053.8000000000002</v>
      </c>
      <c r="Q24" s="124">
        <v>696.1</v>
      </c>
      <c r="R24" s="43">
        <f t="shared" si="11"/>
        <v>23.203333333333333</v>
      </c>
      <c r="S24" s="111">
        <f t="shared" si="23"/>
        <v>904.9</v>
      </c>
      <c r="T24" s="111">
        <f t="shared" si="12"/>
        <v>1044.0999999999999</v>
      </c>
      <c r="U24" s="124">
        <v>646</v>
      </c>
      <c r="V24" s="43">
        <f t="shared" si="13"/>
        <v>21.533333333333335</v>
      </c>
      <c r="W24" s="124">
        <v>688.1</v>
      </c>
      <c r="X24" s="43">
        <f t="shared" ref="X24:X30" si="46">W24/C24</f>
        <v>22.936666666666667</v>
      </c>
      <c r="Y24" s="111">
        <f t="shared" si="14"/>
        <v>756.9</v>
      </c>
      <c r="Z24" s="111">
        <f t="shared" si="4"/>
        <v>942.6</v>
      </c>
      <c r="AA24" s="111">
        <f t="shared" si="4"/>
        <v>1114.7</v>
      </c>
      <c r="AB24" s="111">
        <f t="shared" si="4"/>
        <v>1011.5</v>
      </c>
      <c r="AC24" s="111">
        <f t="shared" si="4"/>
        <v>1493.1</v>
      </c>
      <c r="AD24" s="111">
        <f t="shared" si="4"/>
        <v>2064.3000000000002</v>
      </c>
      <c r="AE24" s="42">
        <v>654.6</v>
      </c>
      <c r="AF24" s="43">
        <f t="shared" si="5"/>
        <v>21.82</v>
      </c>
      <c r="AG24" s="110">
        <f t="shared" si="6"/>
        <v>1080.0999999999999</v>
      </c>
      <c r="AH24" s="110">
        <f t="shared" si="6"/>
        <v>1374.7</v>
      </c>
      <c r="AI24" s="110">
        <f t="shared" si="6"/>
        <v>1963.8</v>
      </c>
      <c r="AJ24" s="124">
        <v>671.6</v>
      </c>
      <c r="AK24" s="43">
        <f t="shared" si="15"/>
        <v>22.386666666666667</v>
      </c>
      <c r="AL24" s="124">
        <v>903.9</v>
      </c>
      <c r="AM24" s="43">
        <f t="shared" si="7"/>
        <v>30.13</v>
      </c>
      <c r="AN24" s="42">
        <v>740.5</v>
      </c>
      <c r="AO24" s="43">
        <f t="shared" si="16"/>
        <v>24.683333333333334</v>
      </c>
      <c r="AP24" s="110">
        <f t="shared" si="17"/>
        <v>1110.7</v>
      </c>
      <c r="AQ24" s="42">
        <v>726.3</v>
      </c>
      <c r="AR24" s="43">
        <f t="shared" si="18"/>
        <v>24.209999999999997</v>
      </c>
      <c r="AS24" s="110">
        <f t="shared" si="19"/>
        <v>944.1</v>
      </c>
      <c r="AT24" s="110">
        <f t="shared" si="19"/>
        <v>1053.0999999999999</v>
      </c>
      <c r="AU24" s="42">
        <v>718.1</v>
      </c>
      <c r="AV24" s="43">
        <f t="shared" si="20"/>
        <v>23.936666666666667</v>
      </c>
      <c r="AW24" s="42">
        <v>718.98</v>
      </c>
      <c r="AX24" s="43">
        <f t="shared" si="21"/>
        <v>23.966000000000001</v>
      </c>
      <c r="AY24" s="42">
        <v>732.2</v>
      </c>
      <c r="AZ24" s="43">
        <f t="shared" si="44"/>
        <v>24.40666666666667</v>
      </c>
      <c r="BA24" s="124">
        <v>700.1</v>
      </c>
      <c r="BB24" s="125">
        <f t="shared" si="45"/>
        <v>23.336666666666666</v>
      </c>
    </row>
    <row r="25" spans="1:54" x14ac:dyDescent="0.2">
      <c r="A25" s="44" t="s">
        <v>22</v>
      </c>
      <c r="B25" s="45" t="s">
        <v>62</v>
      </c>
      <c r="C25" s="46">
        <v>45</v>
      </c>
      <c r="D25" s="42">
        <f t="shared" si="0"/>
        <v>2879.2</v>
      </c>
      <c r="E25" s="123">
        <f>RCFs!C$43</f>
        <v>63.983120993999997</v>
      </c>
      <c r="F25" s="124">
        <f t="shared" si="1"/>
        <v>658.9</v>
      </c>
      <c r="G25" s="39">
        <f t="shared" si="9"/>
        <v>14.642222222222221</v>
      </c>
      <c r="H25" s="124">
        <v>684.6</v>
      </c>
      <c r="I25" s="39">
        <f t="shared" si="10"/>
        <v>15.213333333333335</v>
      </c>
      <c r="J25" s="111">
        <f t="shared" si="2"/>
        <v>753.1</v>
      </c>
      <c r="K25" s="111">
        <f t="shared" si="2"/>
        <v>937.9</v>
      </c>
      <c r="L25" s="111">
        <f t="shared" si="2"/>
        <v>1006.4</v>
      </c>
      <c r="M25" s="111">
        <f t="shared" si="43"/>
        <v>1109.0999999999999</v>
      </c>
      <c r="N25" s="111">
        <f t="shared" si="43"/>
        <v>1369.2</v>
      </c>
      <c r="O25" s="111">
        <f t="shared" si="43"/>
        <v>1471.9</v>
      </c>
      <c r="P25" s="111">
        <f t="shared" si="43"/>
        <v>2053.8000000000002</v>
      </c>
      <c r="Q25" s="124">
        <v>696.1</v>
      </c>
      <c r="R25" s="43">
        <f t="shared" si="11"/>
        <v>15.468888888888889</v>
      </c>
      <c r="S25" s="111">
        <f t="shared" si="23"/>
        <v>904.9</v>
      </c>
      <c r="T25" s="111">
        <f t="shared" si="12"/>
        <v>1044.0999999999999</v>
      </c>
      <c r="U25" s="124">
        <v>646</v>
      </c>
      <c r="V25" s="43">
        <f t="shared" si="13"/>
        <v>14.355555555555556</v>
      </c>
      <c r="W25" s="124">
        <v>688.1</v>
      </c>
      <c r="X25" s="43">
        <f t="shared" si="46"/>
        <v>15.291111111111112</v>
      </c>
      <c r="Y25" s="111">
        <f t="shared" si="14"/>
        <v>756.9</v>
      </c>
      <c r="Z25" s="111">
        <f t="shared" si="4"/>
        <v>942.6</v>
      </c>
      <c r="AA25" s="111">
        <f t="shared" si="4"/>
        <v>1114.7</v>
      </c>
      <c r="AB25" s="111">
        <f t="shared" si="4"/>
        <v>1011.5</v>
      </c>
      <c r="AC25" s="111">
        <f t="shared" si="4"/>
        <v>1493.1</v>
      </c>
      <c r="AD25" s="111">
        <f t="shared" si="4"/>
        <v>2064.3000000000002</v>
      </c>
      <c r="AE25" s="42">
        <v>654.6</v>
      </c>
      <c r="AF25" s="43">
        <f t="shared" si="5"/>
        <v>14.546666666666667</v>
      </c>
      <c r="AG25" s="110">
        <f t="shared" si="6"/>
        <v>1080.0999999999999</v>
      </c>
      <c r="AH25" s="110">
        <f t="shared" si="6"/>
        <v>1374.7</v>
      </c>
      <c r="AI25" s="110">
        <f t="shared" si="6"/>
        <v>1963.8</v>
      </c>
      <c r="AJ25" s="124">
        <v>671.6</v>
      </c>
      <c r="AK25" s="43">
        <f t="shared" si="15"/>
        <v>14.924444444444445</v>
      </c>
      <c r="AL25" s="124">
        <v>903.9</v>
      </c>
      <c r="AM25" s="43">
        <f t="shared" si="7"/>
        <v>20.086666666666666</v>
      </c>
      <c r="AN25" s="42">
        <v>740.5</v>
      </c>
      <c r="AO25" s="43">
        <f t="shared" si="16"/>
        <v>16.455555555555556</v>
      </c>
      <c r="AP25" s="110">
        <f t="shared" si="17"/>
        <v>1110.7</v>
      </c>
      <c r="AQ25" s="42">
        <v>726.3</v>
      </c>
      <c r="AR25" s="43">
        <f t="shared" si="18"/>
        <v>16.14</v>
      </c>
      <c r="AS25" s="110">
        <f t="shared" si="19"/>
        <v>944.1</v>
      </c>
      <c r="AT25" s="110">
        <f t="shared" si="19"/>
        <v>1053.0999999999999</v>
      </c>
      <c r="AU25" s="42">
        <v>718.1</v>
      </c>
      <c r="AV25" s="43">
        <f t="shared" si="20"/>
        <v>15.957777777777778</v>
      </c>
      <c r="AW25" s="42">
        <v>718.98</v>
      </c>
      <c r="AX25" s="43">
        <f t="shared" si="21"/>
        <v>15.977333333333334</v>
      </c>
      <c r="AY25" s="42">
        <v>732.7</v>
      </c>
      <c r="AZ25" s="43">
        <f t="shared" si="44"/>
        <v>16.282222222222224</v>
      </c>
      <c r="BA25" s="124">
        <v>700.1</v>
      </c>
      <c r="BB25" s="125">
        <f t="shared" si="45"/>
        <v>15.557777777777778</v>
      </c>
    </row>
    <row r="26" spans="1:54" x14ac:dyDescent="0.2">
      <c r="A26" s="44" t="s">
        <v>16</v>
      </c>
      <c r="B26" s="45" t="s">
        <v>63</v>
      </c>
      <c r="C26" s="46">
        <v>15</v>
      </c>
      <c r="D26" s="42">
        <f t="shared" si="0"/>
        <v>959.7</v>
      </c>
      <c r="E26" s="123">
        <f>RCFs!C$43</f>
        <v>63.983120993999997</v>
      </c>
      <c r="F26" s="124">
        <f t="shared" si="1"/>
        <v>658.9</v>
      </c>
      <c r="G26" s="39">
        <f t="shared" si="9"/>
        <v>43.926666666666662</v>
      </c>
      <c r="H26" s="124">
        <v>684.6</v>
      </c>
      <c r="I26" s="39">
        <f t="shared" si="10"/>
        <v>45.64</v>
      </c>
      <c r="J26" s="111">
        <f t="shared" si="2"/>
        <v>753.1</v>
      </c>
      <c r="K26" s="111">
        <f t="shared" si="2"/>
        <v>937.9</v>
      </c>
      <c r="L26" s="111">
        <f t="shared" si="2"/>
        <v>1006.4</v>
      </c>
      <c r="M26" s="111">
        <f t="shared" si="43"/>
        <v>1109.0999999999999</v>
      </c>
      <c r="N26" s="111">
        <f t="shared" si="43"/>
        <v>1369.2</v>
      </c>
      <c r="O26" s="111">
        <f t="shared" si="43"/>
        <v>1471.9</v>
      </c>
      <c r="P26" s="111">
        <f t="shared" si="43"/>
        <v>2053.8000000000002</v>
      </c>
      <c r="Q26" s="124">
        <v>696.1</v>
      </c>
      <c r="R26" s="43">
        <f t="shared" si="11"/>
        <v>46.406666666666666</v>
      </c>
      <c r="S26" s="111">
        <f t="shared" si="23"/>
        <v>904.9</v>
      </c>
      <c r="T26" s="111">
        <f t="shared" si="12"/>
        <v>1044.0999999999999</v>
      </c>
      <c r="U26" s="124">
        <v>681.8</v>
      </c>
      <c r="V26" s="43">
        <f t="shared" si="13"/>
        <v>45.453333333333333</v>
      </c>
      <c r="W26" s="124">
        <v>726</v>
      </c>
      <c r="X26" s="43">
        <f t="shared" si="46"/>
        <v>48.4</v>
      </c>
      <c r="Y26" s="111">
        <f t="shared" si="14"/>
        <v>798.6</v>
      </c>
      <c r="Z26" s="111">
        <f t="shared" si="4"/>
        <v>994.6</v>
      </c>
      <c r="AA26" s="111">
        <f t="shared" si="4"/>
        <v>1176.0999999999999</v>
      </c>
      <c r="AB26" s="111">
        <f t="shared" si="4"/>
        <v>1067.2</v>
      </c>
      <c r="AC26" s="111">
        <f t="shared" si="4"/>
        <v>1575.4</v>
      </c>
      <c r="AD26" s="111">
        <f t="shared" si="4"/>
        <v>2178</v>
      </c>
      <c r="AE26" s="42">
        <v>654.6</v>
      </c>
      <c r="AF26" s="43">
        <f t="shared" si="5"/>
        <v>43.64</v>
      </c>
      <c r="AG26" s="110">
        <f t="shared" si="6"/>
        <v>1080.0999999999999</v>
      </c>
      <c r="AH26" s="110">
        <f t="shared" si="6"/>
        <v>1374.7</v>
      </c>
      <c r="AI26" s="110">
        <f t="shared" si="6"/>
        <v>1963.8</v>
      </c>
      <c r="AJ26" s="124">
        <v>678.1</v>
      </c>
      <c r="AK26" s="43">
        <f t="shared" si="15"/>
        <v>45.206666666666671</v>
      </c>
      <c r="AL26" s="124">
        <v>934.2</v>
      </c>
      <c r="AM26" s="43">
        <f t="shared" si="7"/>
        <v>62.28</v>
      </c>
      <c r="AN26" s="42">
        <v>740.5</v>
      </c>
      <c r="AO26" s="43">
        <f t="shared" si="16"/>
        <v>49.366666666666667</v>
      </c>
      <c r="AP26" s="110">
        <f t="shared" si="17"/>
        <v>1110.7</v>
      </c>
      <c r="AQ26" s="42">
        <v>726.3</v>
      </c>
      <c r="AR26" s="43">
        <f t="shared" si="18"/>
        <v>48.419999999999995</v>
      </c>
      <c r="AS26" s="110">
        <f t="shared" si="19"/>
        <v>944.1</v>
      </c>
      <c r="AT26" s="110">
        <f t="shared" si="19"/>
        <v>1053.0999999999999</v>
      </c>
      <c r="AU26" s="42">
        <v>718.1</v>
      </c>
      <c r="AV26" s="43">
        <f t="shared" si="20"/>
        <v>47.873333333333335</v>
      </c>
      <c r="AW26" s="42">
        <v>718.98</v>
      </c>
      <c r="AX26" s="43">
        <f t="shared" si="21"/>
        <v>47.932000000000002</v>
      </c>
      <c r="AY26" s="42">
        <v>732.7</v>
      </c>
      <c r="AZ26" s="43">
        <f t="shared" si="44"/>
        <v>48.846666666666671</v>
      </c>
      <c r="BA26" s="124">
        <v>700.1</v>
      </c>
      <c r="BB26" s="125">
        <f t="shared" si="45"/>
        <v>46.673333333333332</v>
      </c>
    </row>
    <row r="27" spans="1:54" x14ac:dyDescent="0.2">
      <c r="A27" s="44" t="s">
        <v>17</v>
      </c>
      <c r="B27" s="45" t="s">
        <v>63</v>
      </c>
      <c r="C27" s="46">
        <v>30</v>
      </c>
      <c r="D27" s="42">
        <f t="shared" si="0"/>
        <v>1919.5</v>
      </c>
      <c r="E27" s="123">
        <f>RCFs!C$43</f>
        <v>63.983120993999997</v>
      </c>
      <c r="F27" s="124">
        <f t="shared" si="1"/>
        <v>658.9</v>
      </c>
      <c r="G27" s="39">
        <f t="shared" si="9"/>
        <v>21.963333333333331</v>
      </c>
      <c r="H27" s="124">
        <v>684.6</v>
      </c>
      <c r="I27" s="39">
        <f t="shared" si="10"/>
        <v>22.82</v>
      </c>
      <c r="J27" s="111">
        <f t="shared" si="2"/>
        <v>753.1</v>
      </c>
      <c r="K27" s="111">
        <f t="shared" si="2"/>
        <v>937.9</v>
      </c>
      <c r="L27" s="111">
        <f t="shared" si="2"/>
        <v>1006.4</v>
      </c>
      <c r="M27" s="111">
        <f t="shared" si="43"/>
        <v>1109.0999999999999</v>
      </c>
      <c r="N27" s="111">
        <f t="shared" si="43"/>
        <v>1369.2</v>
      </c>
      <c r="O27" s="111">
        <f t="shared" si="43"/>
        <v>1471.9</v>
      </c>
      <c r="P27" s="111">
        <f t="shared" si="43"/>
        <v>2053.8000000000002</v>
      </c>
      <c r="Q27" s="124">
        <v>696.1</v>
      </c>
      <c r="R27" s="43">
        <f t="shared" si="11"/>
        <v>23.203333333333333</v>
      </c>
      <c r="S27" s="111">
        <f t="shared" si="23"/>
        <v>904.9</v>
      </c>
      <c r="T27" s="111">
        <f t="shared" si="12"/>
        <v>1044.0999999999999</v>
      </c>
      <c r="U27" s="124">
        <v>681.8</v>
      </c>
      <c r="V27" s="43">
        <f t="shared" si="13"/>
        <v>22.726666666666667</v>
      </c>
      <c r="W27" s="124">
        <v>726</v>
      </c>
      <c r="X27" s="43">
        <f t="shared" si="46"/>
        <v>24.2</v>
      </c>
      <c r="Y27" s="111">
        <f t="shared" si="14"/>
        <v>798.6</v>
      </c>
      <c r="Z27" s="111">
        <f t="shared" si="4"/>
        <v>994.6</v>
      </c>
      <c r="AA27" s="111">
        <f t="shared" si="4"/>
        <v>1176.0999999999999</v>
      </c>
      <c r="AB27" s="111">
        <f t="shared" si="4"/>
        <v>1067.2</v>
      </c>
      <c r="AC27" s="111">
        <f t="shared" si="4"/>
        <v>1575.4</v>
      </c>
      <c r="AD27" s="111">
        <f t="shared" si="4"/>
        <v>2178</v>
      </c>
      <c r="AE27" s="42">
        <v>654.6</v>
      </c>
      <c r="AF27" s="43">
        <f t="shared" si="5"/>
        <v>21.82</v>
      </c>
      <c r="AG27" s="110">
        <f t="shared" si="6"/>
        <v>1080.0999999999999</v>
      </c>
      <c r="AH27" s="110">
        <f t="shared" si="6"/>
        <v>1374.7</v>
      </c>
      <c r="AI27" s="110">
        <f t="shared" si="6"/>
        <v>1963.8</v>
      </c>
      <c r="AJ27" s="124">
        <v>678.1</v>
      </c>
      <c r="AK27" s="43">
        <f t="shared" si="15"/>
        <v>22.603333333333335</v>
      </c>
      <c r="AL27" s="124">
        <v>934.2</v>
      </c>
      <c r="AM27" s="43">
        <f t="shared" si="7"/>
        <v>31.14</v>
      </c>
      <c r="AN27" s="42">
        <v>740.5</v>
      </c>
      <c r="AO27" s="43">
        <f t="shared" si="16"/>
        <v>24.683333333333334</v>
      </c>
      <c r="AP27" s="110">
        <f t="shared" si="17"/>
        <v>1110.7</v>
      </c>
      <c r="AQ27" s="42">
        <v>726.3</v>
      </c>
      <c r="AR27" s="43">
        <f t="shared" si="18"/>
        <v>24.209999999999997</v>
      </c>
      <c r="AS27" s="110">
        <f t="shared" si="19"/>
        <v>944.1</v>
      </c>
      <c r="AT27" s="110">
        <f t="shared" si="19"/>
        <v>1053.0999999999999</v>
      </c>
      <c r="AU27" s="42">
        <v>718.1</v>
      </c>
      <c r="AV27" s="43">
        <f t="shared" si="20"/>
        <v>23.936666666666667</v>
      </c>
      <c r="AW27" s="42">
        <v>718.98</v>
      </c>
      <c r="AX27" s="43">
        <f t="shared" si="21"/>
        <v>23.966000000000001</v>
      </c>
      <c r="AY27" s="42">
        <v>732.7</v>
      </c>
      <c r="AZ27" s="43">
        <f t="shared" si="44"/>
        <v>24.423333333333336</v>
      </c>
      <c r="BA27" s="124">
        <v>700.1</v>
      </c>
      <c r="BB27" s="125">
        <f t="shared" si="45"/>
        <v>23.336666666666666</v>
      </c>
    </row>
    <row r="28" spans="1:54" x14ac:dyDescent="0.2">
      <c r="A28" s="44" t="s">
        <v>18</v>
      </c>
      <c r="B28" s="45" t="s">
        <v>63</v>
      </c>
      <c r="C28" s="46">
        <v>45</v>
      </c>
      <c r="D28" s="42">
        <f t="shared" si="0"/>
        <v>2879.2</v>
      </c>
      <c r="E28" s="123">
        <f>RCFs!C$43</f>
        <v>63.983120993999997</v>
      </c>
      <c r="F28" s="124">
        <f t="shared" si="1"/>
        <v>658.9</v>
      </c>
      <c r="G28" s="39">
        <f t="shared" si="9"/>
        <v>14.642222222222221</v>
      </c>
      <c r="H28" s="124">
        <v>684.6</v>
      </c>
      <c r="I28" s="39">
        <f t="shared" si="10"/>
        <v>15.213333333333335</v>
      </c>
      <c r="J28" s="111">
        <f t="shared" ref="J28:L36" si="47">ROUND($C28*$I28*J$6,1)</f>
        <v>753.1</v>
      </c>
      <c r="K28" s="111">
        <f t="shared" si="47"/>
        <v>937.9</v>
      </c>
      <c r="L28" s="111">
        <f t="shared" si="47"/>
        <v>1006.4</v>
      </c>
      <c r="M28" s="111">
        <f t="shared" si="43"/>
        <v>1109.0999999999999</v>
      </c>
      <c r="N28" s="111">
        <f t="shared" si="43"/>
        <v>1369.2</v>
      </c>
      <c r="O28" s="111">
        <f t="shared" si="43"/>
        <v>1471.9</v>
      </c>
      <c r="P28" s="111">
        <f t="shared" si="43"/>
        <v>2053.8000000000002</v>
      </c>
      <c r="Q28" s="124">
        <v>696.1</v>
      </c>
      <c r="R28" s="43">
        <f t="shared" si="11"/>
        <v>15.468888888888889</v>
      </c>
      <c r="S28" s="111">
        <f t="shared" si="23"/>
        <v>904.9</v>
      </c>
      <c r="T28" s="111">
        <f t="shared" si="12"/>
        <v>1044.0999999999999</v>
      </c>
      <c r="U28" s="124">
        <v>681.8</v>
      </c>
      <c r="V28" s="43">
        <f t="shared" si="13"/>
        <v>15.15111111111111</v>
      </c>
      <c r="W28" s="124">
        <v>726</v>
      </c>
      <c r="X28" s="43">
        <f t="shared" si="46"/>
        <v>16.133333333333333</v>
      </c>
      <c r="Y28" s="111">
        <f t="shared" si="14"/>
        <v>798.6</v>
      </c>
      <c r="Z28" s="111">
        <f t="shared" si="14"/>
        <v>994.6</v>
      </c>
      <c r="AA28" s="111">
        <f t="shared" si="14"/>
        <v>1176.0999999999999</v>
      </c>
      <c r="AB28" s="111">
        <f t="shared" si="14"/>
        <v>1067.2</v>
      </c>
      <c r="AC28" s="111">
        <f t="shared" si="14"/>
        <v>1575.4</v>
      </c>
      <c r="AD28" s="111">
        <f t="shared" si="14"/>
        <v>2178</v>
      </c>
      <c r="AE28" s="42">
        <v>654.6</v>
      </c>
      <c r="AF28" s="43">
        <f t="shared" si="5"/>
        <v>14.546666666666667</v>
      </c>
      <c r="AG28" s="110">
        <f t="shared" si="6"/>
        <v>1080.0999999999999</v>
      </c>
      <c r="AH28" s="110">
        <f t="shared" si="6"/>
        <v>1374.7</v>
      </c>
      <c r="AI28" s="110">
        <f t="shared" si="6"/>
        <v>1963.8</v>
      </c>
      <c r="AJ28" s="124">
        <v>678.1</v>
      </c>
      <c r="AK28" s="43">
        <f t="shared" si="15"/>
        <v>15.068888888888889</v>
      </c>
      <c r="AL28" s="124">
        <v>934.2</v>
      </c>
      <c r="AM28" s="43">
        <f t="shared" si="7"/>
        <v>20.76</v>
      </c>
      <c r="AN28" s="42">
        <v>740.5</v>
      </c>
      <c r="AO28" s="43">
        <f t="shared" si="16"/>
        <v>16.455555555555556</v>
      </c>
      <c r="AP28" s="110">
        <f t="shared" si="17"/>
        <v>1110.7</v>
      </c>
      <c r="AQ28" s="42">
        <v>726.3</v>
      </c>
      <c r="AR28" s="43">
        <f t="shared" si="18"/>
        <v>16.14</v>
      </c>
      <c r="AS28" s="110">
        <f t="shared" si="19"/>
        <v>944.1</v>
      </c>
      <c r="AT28" s="110">
        <f t="shared" si="19"/>
        <v>1053.0999999999999</v>
      </c>
      <c r="AU28" s="42">
        <v>718.1</v>
      </c>
      <c r="AV28" s="43">
        <f t="shared" si="20"/>
        <v>15.957777777777778</v>
      </c>
      <c r="AW28" s="42">
        <v>718.98</v>
      </c>
      <c r="AX28" s="43">
        <f t="shared" si="21"/>
        <v>15.977333333333334</v>
      </c>
      <c r="AY28" s="42">
        <v>732.7</v>
      </c>
      <c r="AZ28" s="43">
        <f t="shared" si="44"/>
        <v>16.282222222222224</v>
      </c>
      <c r="BA28" s="124">
        <v>700.1</v>
      </c>
      <c r="BB28" s="125">
        <f t="shared" si="45"/>
        <v>15.557777777777778</v>
      </c>
    </row>
    <row r="29" spans="1:54" s="257" customFormat="1" x14ac:dyDescent="0.2">
      <c r="A29" s="201" t="s">
        <v>179</v>
      </c>
      <c r="B29" s="247" t="s">
        <v>63</v>
      </c>
      <c r="C29" s="248">
        <v>63.6</v>
      </c>
      <c r="D29" s="249">
        <f t="shared" ref="D29" si="48">ROUND(E29*C29,1)</f>
        <v>4069.3</v>
      </c>
      <c r="E29" s="250">
        <f>RCFs!C$43</f>
        <v>63.983120993999997</v>
      </c>
      <c r="F29" s="251">
        <f t="shared" si="1"/>
        <v>0</v>
      </c>
      <c r="G29" s="252">
        <f t="shared" ref="G29" si="49">F29/C29</f>
        <v>0</v>
      </c>
      <c r="H29" s="251">
        <v>0</v>
      </c>
      <c r="I29" s="252">
        <f t="shared" ref="I29" si="50">H29/C29</f>
        <v>0</v>
      </c>
      <c r="J29" s="253">
        <f t="shared" si="47"/>
        <v>0</v>
      </c>
      <c r="K29" s="253">
        <f t="shared" si="47"/>
        <v>0</v>
      </c>
      <c r="L29" s="253">
        <f t="shared" si="47"/>
        <v>0</v>
      </c>
      <c r="M29" s="253">
        <f t="shared" si="43"/>
        <v>0</v>
      </c>
      <c r="N29" s="253">
        <f t="shared" si="43"/>
        <v>0</v>
      </c>
      <c r="O29" s="253">
        <f t="shared" si="43"/>
        <v>0</v>
      </c>
      <c r="P29" s="253">
        <f t="shared" si="43"/>
        <v>0</v>
      </c>
      <c r="Q29" s="251">
        <v>0</v>
      </c>
      <c r="R29" s="254">
        <f t="shared" ref="R29" si="51">Q29/C29</f>
        <v>0</v>
      </c>
      <c r="S29" s="253">
        <f t="shared" si="23"/>
        <v>0</v>
      </c>
      <c r="T29" s="253">
        <f t="shared" si="12"/>
        <v>0</v>
      </c>
      <c r="U29" s="251">
        <v>0</v>
      </c>
      <c r="V29" s="254">
        <f t="shared" ref="V29" si="52">U29/C29</f>
        <v>0</v>
      </c>
      <c r="W29" s="251">
        <v>0</v>
      </c>
      <c r="X29" s="254">
        <f t="shared" ref="X29" si="53">W29/C29</f>
        <v>0</v>
      </c>
      <c r="Y29" s="253">
        <f t="shared" si="14"/>
        <v>0</v>
      </c>
      <c r="Z29" s="253">
        <f t="shared" si="14"/>
        <v>0</v>
      </c>
      <c r="AA29" s="253">
        <f t="shared" si="14"/>
        <v>0</v>
      </c>
      <c r="AB29" s="253">
        <f t="shared" si="14"/>
        <v>0</v>
      </c>
      <c r="AC29" s="253">
        <f t="shared" si="14"/>
        <v>0</v>
      </c>
      <c r="AD29" s="253">
        <f t="shared" si="14"/>
        <v>0</v>
      </c>
      <c r="AE29" s="249">
        <v>0</v>
      </c>
      <c r="AF29" s="254">
        <f t="shared" ref="AF29" si="54">AE29/C29</f>
        <v>0</v>
      </c>
      <c r="AG29" s="255">
        <f t="shared" si="6"/>
        <v>0</v>
      </c>
      <c r="AH29" s="255">
        <f t="shared" si="6"/>
        <v>0</v>
      </c>
      <c r="AI29" s="255">
        <f t="shared" si="6"/>
        <v>0</v>
      </c>
      <c r="AJ29" s="251">
        <v>678.1</v>
      </c>
      <c r="AK29" s="254">
        <f t="shared" ref="AK29" si="55">AJ29/C29</f>
        <v>10.661949685534591</v>
      </c>
      <c r="AL29" s="251">
        <v>934.2</v>
      </c>
      <c r="AM29" s="254">
        <f t="shared" ref="AM29" si="56">AL29/C29</f>
        <v>14.688679245283019</v>
      </c>
      <c r="AN29" s="42">
        <v>484.4</v>
      </c>
      <c r="AO29" s="43">
        <f t="shared" si="16"/>
        <v>7.6163522012578611</v>
      </c>
      <c r="AP29" s="255">
        <f t="shared" si="17"/>
        <v>726.6</v>
      </c>
      <c r="AQ29" s="249">
        <v>0</v>
      </c>
      <c r="AR29" s="254">
        <f t="shared" ref="AR29" si="57">AQ29/C29</f>
        <v>0</v>
      </c>
      <c r="AS29" s="255">
        <f t="shared" si="19"/>
        <v>0</v>
      </c>
      <c r="AT29" s="255">
        <f t="shared" si="19"/>
        <v>0</v>
      </c>
      <c r="AU29" s="249">
        <v>718.1</v>
      </c>
      <c r="AV29" s="254">
        <f t="shared" ref="AV29" si="58">AU29/C29</f>
        <v>11.290880503144654</v>
      </c>
      <c r="AW29" s="249">
        <v>0</v>
      </c>
      <c r="AX29" s="43">
        <f t="shared" si="21"/>
        <v>0</v>
      </c>
      <c r="AY29" s="249">
        <v>732.7</v>
      </c>
      <c r="AZ29" s="254">
        <f t="shared" ref="AZ29" si="59">AY29/C29</f>
        <v>11.520440251572328</v>
      </c>
      <c r="BA29" s="251">
        <v>0</v>
      </c>
      <c r="BB29" s="256">
        <f t="shared" ref="BB29" si="60">BA29/C29</f>
        <v>0</v>
      </c>
    </row>
    <row r="30" spans="1:54" x14ac:dyDescent="0.2">
      <c r="A30" s="44" t="s">
        <v>13</v>
      </c>
      <c r="B30" s="49" t="s">
        <v>14</v>
      </c>
      <c r="C30" s="46">
        <v>21.43</v>
      </c>
      <c r="D30" s="42">
        <f t="shared" si="0"/>
        <v>1371.2</v>
      </c>
      <c r="E30" s="123">
        <f>RCFs!C$43</f>
        <v>63.983120993999997</v>
      </c>
      <c r="F30" s="124">
        <f t="shared" si="1"/>
        <v>543.5</v>
      </c>
      <c r="G30" s="39">
        <f t="shared" si="9"/>
        <v>25.361642557162856</v>
      </c>
      <c r="H30" s="124">
        <v>564.70000000000005</v>
      </c>
      <c r="I30" s="39">
        <f t="shared" si="10"/>
        <v>26.350909939337381</v>
      </c>
      <c r="J30" s="111">
        <f t="shared" si="47"/>
        <v>621.20000000000005</v>
      </c>
      <c r="K30" s="111">
        <f t="shared" si="47"/>
        <v>773.6</v>
      </c>
      <c r="L30" s="111">
        <f t="shared" si="47"/>
        <v>830.1</v>
      </c>
      <c r="M30" s="111">
        <f t="shared" si="43"/>
        <v>914.8</v>
      </c>
      <c r="N30" s="111">
        <f t="shared" si="43"/>
        <v>1129.4000000000001</v>
      </c>
      <c r="O30" s="111">
        <f t="shared" si="43"/>
        <v>1214.0999999999999</v>
      </c>
      <c r="P30" s="111">
        <f t="shared" si="43"/>
        <v>1694.1</v>
      </c>
      <c r="Q30" s="124">
        <v>573.9</v>
      </c>
      <c r="R30" s="43">
        <f t="shared" si="11"/>
        <v>26.780214652356509</v>
      </c>
      <c r="S30" s="111">
        <f t="shared" si="23"/>
        <v>746</v>
      </c>
      <c r="T30" s="111">
        <f t="shared" si="12"/>
        <v>860.8</v>
      </c>
      <c r="U30" s="124">
        <v>531.29999999999995</v>
      </c>
      <c r="V30" s="43">
        <f t="shared" si="13"/>
        <v>24.792347176854875</v>
      </c>
      <c r="W30" s="124">
        <v>565.9</v>
      </c>
      <c r="X30" s="43">
        <f t="shared" si="46"/>
        <v>26.406906206252916</v>
      </c>
      <c r="Y30" s="111">
        <f t="shared" ref="Y30:AD30" si="61">$W$30</f>
        <v>565.9</v>
      </c>
      <c r="Z30" s="111">
        <f t="shared" si="61"/>
        <v>565.9</v>
      </c>
      <c r="AA30" s="111">
        <f t="shared" si="61"/>
        <v>565.9</v>
      </c>
      <c r="AB30" s="111">
        <f t="shared" si="61"/>
        <v>565.9</v>
      </c>
      <c r="AC30" s="111">
        <f t="shared" si="61"/>
        <v>565.9</v>
      </c>
      <c r="AD30" s="111">
        <f t="shared" si="61"/>
        <v>565.9</v>
      </c>
      <c r="AE30" s="42">
        <v>539.9</v>
      </c>
      <c r="AF30" s="125">
        <f t="shared" si="5"/>
        <v>25.193653756416239</v>
      </c>
      <c r="AG30" s="110">
        <f t="shared" si="6"/>
        <v>890.8</v>
      </c>
      <c r="AH30" s="110">
        <f t="shared" si="6"/>
        <v>1133.8</v>
      </c>
      <c r="AI30" s="110">
        <f t="shared" si="6"/>
        <v>1619.7</v>
      </c>
      <c r="AJ30" s="124">
        <v>500</v>
      </c>
      <c r="AK30" s="43">
        <f t="shared" si="15"/>
        <v>23.331777881474569</v>
      </c>
      <c r="AL30" s="124">
        <v>672.6</v>
      </c>
      <c r="AM30" s="43">
        <f t="shared" si="7"/>
        <v>31.385907606159591</v>
      </c>
      <c r="AN30" s="42">
        <v>610.20000000000005</v>
      </c>
      <c r="AO30" s="43">
        <f t="shared" si="16"/>
        <v>28.474101726551567</v>
      </c>
      <c r="AP30" s="110">
        <f t="shared" si="17"/>
        <v>915.3</v>
      </c>
      <c r="AQ30" s="42">
        <v>598.70000000000005</v>
      </c>
      <c r="AR30" s="43">
        <f t="shared" si="18"/>
        <v>27.937470835277651</v>
      </c>
      <c r="AS30" s="110">
        <f t="shared" si="19"/>
        <v>778.3</v>
      </c>
      <c r="AT30" s="110">
        <f t="shared" si="19"/>
        <v>868.1</v>
      </c>
      <c r="AU30" s="42">
        <v>718.1</v>
      </c>
      <c r="AV30" s="43">
        <f t="shared" si="20"/>
        <v>33.509099393373774</v>
      </c>
      <c r="AW30" s="42">
        <v>592.6</v>
      </c>
      <c r="AX30" s="43">
        <f t="shared" si="21"/>
        <v>27.652823145123659</v>
      </c>
      <c r="AY30" s="42">
        <v>603.9</v>
      </c>
      <c r="AZ30" s="43">
        <f t="shared" si="44"/>
        <v>28.180121325244983</v>
      </c>
      <c r="BA30" s="175">
        <f>ROUNDDOWN(C30*BB30,1)</f>
        <v>577.1</v>
      </c>
      <c r="BB30" s="125">
        <f>RCFs!I$41</f>
        <v>26.931999999999999</v>
      </c>
    </row>
    <row r="31" spans="1:54" s="104" customFormat="1" ht="25.5" x14ac:dyDescent="0.2">
      <c r="A31" s="167" t="s">
        <v>77</v>
      </c>
      <c r="B31" s="168" t="s">
        <v>150</v>
      </c>
      <c r="C31" s="103">
        <v>0</v>
      </c>
      <c r="D31" s="103">
        <v>0</v>
      </c>
      <c r="E31" s="103">
        <v>0</v>
      </c>
      <c r="F31" s="103">
        <v>0</v>
      </c>
      <c r="G31" s="103">
        <v>0</v>
      </c>
      <c r="H31" s="103">
        <v>0</v>
      </c>
      <c r="I31" s="103">
        <v>0</v>
      </c>
      <c r="J31" s="111">
        <f t="shared" si="47"/>
        <v>0</v>
      </c>
      <c r="K31" s="111">
        <f t="shared" si="47"/>
        <v>0</v>
      </c>
      <c r="L31" s="111">
        <f t="shared" si="47"/>
        <v>0</v>
      </c>
      <c r="M31" s="112">
        <v>0</v>
      </c>
      <c r="N31" s="112">
        <v>0</v>
      </c>
      <c r="O31" s="112">
        <v>0</v>
      </c>
      <c r="P31" s="112">
        <v>0</v>
      </c>
      <c r="Q31" s="103">
        <v>0</v>
      </c>
      <c r="R31" s="103">
        <v>0</v>
      </c>
      <c r="S31" s="112">
        <f t="shared" si="23"/>
        <v>0</v>
      </c>
      <c r="T31" s="112">
        <f t="shared" si="12"/>
        <v>0</v>
      </c>
      <c r="U31" s="103">
        <v>0</v>
      </c>
      <c r="V31" s="103">
        <v>0</v>
      </c>
      <c r="W31" s="103">
        <v>0</v>
      </c>
      <c r="X31" s="103">
        <v>0</v>
      </c>
      <c r="Y31" s="113" t="s">
        <v>79</v>
      </c>
      <c r="Z31" s="112">
        <v>2012.3</v>
      </c>
      <c r="AA31" s="113" t="s">
        <v>79</v>
      </c>
      <c r="AB31" s="112">
        <v>2159.3000000000002</v>
      </c>
      <c r="AC31" s="112">
        <v>3187.3</v>
      </c>
      <c r="AD31" s="112">
        <v>3187.3</v>
      </c>
      <c r="AE31" s="103">
        <v>0</v>
      </c>
      <c r="AF31" s="103">
        <v>0</v>
      </c>
      <c r="AG31" s="112">
        <v>0</v>
      </c>
      <c r="AH31" s="112">
        <v>0</v>
      </c>
      <c r="AI31" s="112">
        <v>0</v>
      </c>
      <c r="AJ31" s="103">
        <v>0</v>
      </c>
      <c r="AK31" s="103">
        <v>0</v>
      </c>
      <c r="AL31" s="103">
        <v>0</v>
      </c>
      <c r="AM31" s="103">
        <v>0</v>
      </c>
      <c r="AN31" s="103">
        <v>0</v>
      </c>
      <c r="AO31" s="103">
        <v>0</v>
      </c>
      <c r="AP31" s="112">
        <v>0</v>
      </c>
      <c r="AQ31" s="103">
        <v>0</v>
      </c>
      <c r="AR31" s="103">
        <v>0</v>
      </c>
      <c r="AS31" s="112">
        <v>0</v>
      </c>
      <c r="AT31" s="112">
        <v>0</v>
      </c>
      <c r="AU31" s="103">
        <v>0</v>
      </c>
      <c r="AV31" s="103">
        <v>0</v>
      </c>
      <c r="AW31" s="103"/>
      <c r="AX31" s="180"/>
      <c r="AY31" s="103">
        <v>0</v>
      </c>
      <c r="AZ31" s="180">
        <v>0</v>
      </c>
      <c r="BA31" s="103">
        <v>0</v>
      </c>
      <c r="BB31" s="103">
        <v>0</v>
      </c>
    </row>
    <row r="32" spans="1:54" s="104" customFormat="1" ht="25.5" x14ac:dyDescent="0.2">
      <c r="A32" s="167" t="s">
        <v>77</v>
      </c>
      <c r="B32" s="168" t="s">
        <v>161</v>
      </c>
      <c r="C32" s="103">
        <v>0</v>
      </c>
      <c r="D32" s="103">
        <v>0</v>
      </c>
      <c r="E32" s="103">
        <v>0</v>
      </c>
      <c r="F32" s="103">
        <v>0</v>
      </c>
      <c r="G32" s="103">
        <v>0</v>
      </c>
      <c r="H32" s="103">
        <v>0</v>
      </c>
      <c r="I32" s="103">
        <v>0</v>
      </c>
      <c r="J32" s="111">
        <f t="shared" si="47"/>
        <v>0</v>
      </c>
      <c r="K32" s="111">
        <f t="shared" si="47"/>
        <v>0</v>
      </c>
      <c r="L32" s="111">
        <f t="shared" si="47"/>
        <v>0</v>
      </c>
      <c r="M32" s="112">
        <v>0</v>
      </c>
      <c r="N32" s="112">
        <v>0</v>
      </c>
      <c r="O32" s="112">
        <v>0</v>
      </c>
      <c r="P32" s="112">
        <v>0</v>
      </c>
      <c r="Q32" s="103">
        <v>0</v>
      </c>
      <c r="R32" s="103">
        <v>0</v>
      </c>
      <c r="S32" s="112">
        <f t="shared" si="23"/>
        <v>0</v>
      </c>
      <c r="T32" s="112">
        <f t="shared" si="12"/>
        <v>0</v>
      </c>
      <c r="U32" s="103">
        <v>0</v>
      </c>
      <c r="V32" s="103">
        <v>0</v>
      </c>
      <c r="W32" s="103">
        <v>0</v>
      </c>
      <c r="X32" s="103">
        <v>0</v>
      </c>
      <c r="Y32" s="112">
        <v>1615.8</v>
      </c>
      <c r="Z32" s="112">
        <v>2012.3</v>
      </c>
      <c r="AA32" s="113" t="s">
        <v>79</v>
      </c>
      <c r="AB32" s="112">
        <v>2159.3000000000002</v>
      </c>
      <c r="AC32" s="112">
        <v>1468.9</v>
      </c>
      <c r="AD32" s="112">
        <v>1468.9</v>
      </c>
      <c r="AE32" s="103">
        <v>0</v>
      </c>
      <c r="AF32" s="103">
        <v>0</v>
      </c>
      <c r="AG32" s="112">
        <v>0</v>
      </c>
      <c r="AH32" s="112">
        <v>0</v>
      </c>
      <c r="AI32" s="112">
        <v>0</v>
      </c>
      <c r="AJ32" s="103">
        <v>0</v>
      </c>
      <c r="AK32" s="103">
        <v>0</v>
      </c>
      <c r="AL32" s="103">
        <v>0</v>
      </c>
      <c r="AM32" s="103">
        <v>0</v>
      </c>
      <c r="AN32" s="103">
        <v>0</v>
      </c>
      <c r="AO32" s="103">
        <v>0</v>
      </c>
      <c r="AP32" s="112">
        <v>0</v>
      </c>
      <c r="AQ32" s="103">
        <v>0</v>
      </c>
      <c r="AR32" s="103">
        <v>0</v>
      </c>
      <c r="AS32" s="112">
        <v>0</v>
      </c>
      <c r="AT32" s="112">
        <v>0</v>
      </c>
      <c r="AU32" s="103">
        <v>0</v>
      </c>
      <c r="AV32" s="103">
        <v>0</v>
      </c>
      <c r="AW32" s="103"/>
      <c r="AX32" s="180"/>
      <c r="AY32" s="103">
        <v>0</v>
      </c>
      <c r="AZ32" s="180">
        <v>0</v>
      </c>
      <c r="BA32" s="103">
        <v>0</v>
      </c>
      <c r="BB32" s="103">
        <v>0</v>
      </c>
    </row>
    <row r="33" spans="1:54" s="104" customFormat="1" ht="25.5" x14ac:dyDescent="0.2">
      <c r="A33" s="167" t="s">
        <v>78</v>
      </c>
      <c r="B33" s="168" t="s">
        <v>151</v>
      </c>
      <c r="C33" s="103">
        <v>0</v>
      </c>
      <c r="D33" s="103">
        <v>0</v>
      </c>
      <c r="E33" s="103">
        <v>0</v>
      </c>
      <c r="F33" s="103">
        <v>0</v>
      </c>
      <c r="G33" s="103">
        <v>0</v>
      </c>
      <c r="H33" s="103">
        <v>0</v>
      </c>
      <c r="I33" s="103">
        <v>0</v>
      </c>
      <c r="J33" s="111">
        <f t="shared" si="47"/>
        <v>0</v>
      </c>
      <c r="K33" s="111">
        <f t="shared" si="47"/>
        <v>0</v>
      </c>
      <c r="L33" s="111">
        <f t="shared" si="47"/>
        <v>0</v>
      </c>
      <c r="M33" s="112">
        <v>0</v>
      </c>
      <c r="N33" s="112">
        <v>0</v>
      </c>
      <c r="O33" s="112">
        <v>0</v>
      </c>
      <c r="P33" s="112">
        <v>0</v>
      </c>
      <c r="Q33" s="103">
        <v>0</v>
      </c>
      <c r="R33" s="103">
        <v>0</v>
      </c>
      <c r="S33" s="112">
        <f t="shared" si="23"/>
        <v>0</v>
      </c>
      <c r="T33" s="112">
        <f t="shared" si="12"/>
        <v>0</v>
      </c>
      <c r="U33" s="103">
        <v>0</v>
      </c>
      <c r="V33" s="103">
        <v>0</v>
      </c>
      <c r="W33" s="103">
        <v>0</v>
      </c>
      <c r="X33" s="103">
        <v>0</v>
      </c>
      <c r="Y33" s="113" t="s">
        <v>79</v>
      </c>
      <c r="Z33" s="112">
        <v>777.6</v>
      </c>
      <c r="AA33" s="113" t="s">
        <v>79</v>
      </c>
      <c r="AB33" s="112">
        <v>834.6</v>
      </c>
      <c r="AC33" s="112">
        <v>1231.5999999999999</v>
      </c>
      <c r="AD33" s="112">
        <v>1231.5999999999999</v>
      </c>
      <c r="AE33" s="103">
        <v>0</v>
      </c>
      <c r="AF33" s="103">
        <v>0</v>
      </c>
      <c r="AG33" s="112">
        <v>0</v>
      </c>
      <c r="AH33" s="112">
        <v>0</v>
      </c>
      <c r="AI33" s="112">
        <v>0</v>
      </c>
      <c r="AJ33" s="103">
        <v>0</v>
      </c>
      <c r="AK33" s="103">
        <v>0</v>
      </c>
      <c r="AL33" s="103">
        <v>0</v>
      </c>
      <c r="AM33" s="103">
        <v>0</v>
      </c>
      <c r="AN33" s="103">
        <v>0</v>
      </c>
      <c r="AO33" s="103">
        <v>0</v>
      </c>
      <c r="AP33" s="112">
        <v>0</v>
      </c>
      <c r="AQ33" s="103">
        <v>0</v>
      </c>
      <c r="AR33" s="103">
        <v>0</v>
      </c>
      <c r="AS33" s="112">
        <v>0</v>
      </c>
      <c r="AT33" s="112">
        <v>0</v>
      </c>
      <c r="AU33" s="103">
        <v>0</v>
      </c>
      <c r="AV33" s="103">
        <v>0</v>
      </c>
      <c r="AW33" s="103"/>
      <c r="AX33" s="180"/>
      <c r="AY33" s="103">
        <v>0</v>
      </c>
      <c r="AZ33" s="180">
        <v>0</v>
      </c>
      <c r="BA33" s="103">
        <v>0</v>
      </c>
      <c r="BB33" s="103">
        <v>0</v>
      </c>
    </row>
    <row r="34" spans="1:54" s="104" customFormat="1" ht="25.5" x14ac:dyDescent="0.2">
      <c r="A34" s="167" t="s">
        <v>78</v>
      </c>
      <c r="B34" s="168" t="s">
        <v>152</v>
      </c>
      <c r="C34" s="103">
        <v>0</v>
      </c>
      <c r="D34" s="103">
        <v>0</v>
      </c>
      <c r="E34" s="103">
        <v>0</v>
      </c>
      <c r="F34" s="103">
        <v>0</v>
      </c>
      <c r="G34" s="103">
        <v>0</v>
      </c>
      <c r="H34" s="103">
        <v>0</v>
      </c>
      <c r="I34" s="103">
        <v>0</v>
      </c>
      <c r="J34" s="111">
        <f t="shared" si="47"/>
        <v>0</v>
      </c>
      <c r="K34" s="111">
        <f t="shared" si="47"/>
        <v>0</v>
      </c>
      <c r="L34" s="111">
        <f t="shared" si="47"/>
        <v>0</v>
      </c>
      <c r="M34" s="112">
        <v>0</v>
      </c>
      <c r="N34" s="112">
        <v>0</v>
      </c>
      <c r="O34" s="112">
        <v>0</v>
      </c>
      <c r="P34" s="112">
        <v>0</v>
      </c>
      <c r="Q34" s="103">
        <v>0</v>
      </c>
      <c r="R34" s="103">
        <v>0</v>
      </c>
      <c r="S34" s="112">
        <f t="shared" si="23"/>
        <v>0</v>
      </c>
      <c r="T34" s="112">
        <f t="shared" si="12"/>
        <v>0</v>
      </c>
      <c r="U34" s="103">
        <v>0</v>
      </c>
      <c r="V34" s="103">
        <v>0</v>
      </c>
      <c r="W34" s="103">
        <v>0</v>
      </c>
      <c r="X34" s="103">
        <v>0</v>
      </c>
      <c r="Y34" s="113">
        <v>599.1</v>
      </c>
      <c r="Z34" s="112">
        <v>777.6</v>
      </c>
      <c r="AA34" s="113" t="s">
        <v>79</v>
      </c>
      <c r="AB34" s="112">
        <v>834.6</v>
      </c>
      <c r="AC34" s="112">
        <v>572.20000000000005</v>
      </c>
      <c r="AD34" s="112">
        <v>572.20000000000005</v>
      </c>
      <c r="AE34" s="103">
        <v>0</v>
      </c>
      <c r="AF34" s="103">
        <v>0</v>
      </c>
      <c r="AG34" s="112">
        <v>0</v>
      </c>
      <c r="AH34" s="112">
        <v>0</v>
      </c>
      <c r="AI34" s="112">
        <v>0</v>
      </c>
      <c r="AJ34" s="103">
        <v>0</v>
      </c>
      <c r="AK34" s="103">
        <v>0</v>
      </c>
      <c r="AL34" s="103">
        <v>0</v>
      </c>
      <c r="AM34" s="103">
        <v>0</v>
      </c>
      <c r="AN34" s="103">
        <v>0</v>
      </c>
      <c r="AO34" s="103">
        <v>0</v>
      </c>
      <c r="AP34" s="112">
        <v>0</v>
      </c>
      <c r="AQ34" s="103">
        <v>0</v>
      </c>
      <c r="AR34" s="103">
        <v>0</v>
      </c>
      <c r="AS34" s="112">
        <v>0</v>
      </c>
      <c r="AT34" s="112">
        <v>0</v>
      </c>
      <c r="AU34" s="103">
        <v>0</v>
      </c>
      <c r="AV34" s="103">
        <v>0</v>
      </c>
      <c r="AW34" s="103"/>
      <c r="AX34" s="180"/>
      <c r="AY34" s="103">
        <v>0</v>
      </c>
      <c r="AZ34" s="180">
        <v>0</v>
      </c>
      <c r="BA34" s="103">
        <v>0</v>
      </c>
      <c r="BB34" s="103">
        <v>0</v>
      </c>
    </row>
    <row r="35" spans="1:54" s="174" customFormat="1" x14ac:dyDescent="0.2">
      <c r="A35" s="169" t="s">
        <v>153</v>
      </c>
      <c r="B35" s="170" t="s">
        <v>155</v>
      </c>
      <c r="C35" s="171">
        <v>2.06</v>
      </c>
      <c r="D35" s="171">
        <v>0</v>
      </c>
      <c r="E35" s="171">
        <v>0</v>
      </c>
      <c r="F35" s="171">
        <v>0</v>
      </c>
      <c r="G35" s="171">
        <v>0</v>
      </c>
      <c r="H35" s="171">
        <v>0</v>
      </c>
      <c r="I35" s="171">
        <v>0</v>
      </c>
      <c r="J35" s="111">
        <f t="shared" si="47"/>
        <v>0</v>
      </c>
      <c r="K35" s="111">
        <f t="shared" si="47"/>
        <v>0</v>
      </c>
      <c r="L35" s="111">
        <f t="shared" si="47"/>
        <v>0</v>
      </c>
      <c r="M35" s="172">
        <v>0</v>
      </c>
      <c r="N35" s="172">
        <v>0</v>
      </c>
      <c r="O35" s="172">
        <v>0</v>
      </c>
      <c r="P35" s="172">
        <v>0</v>
      </c>
      <c r="Q35" s="171">
        <v>0</v>
      </c>
      <c r="R35" s="171">
        <f t="shared" si="11"/>
        <v>0</v>
      </c>
      <c r="S35" s="172">
        <f t="shared" si="23"/>
        <v>0</v>
      </c>
      <c r="T35" s="172">
        <f t="shared" si="12"/>
        <v>0</v>
      </c>
      <c r="U35" s="171">
        <v>0</v>
      </c>
      <c r="V35" s="171">
        <f t="shared" si="13"/>
        <v>0</v>
      </c>
      <c r="W35" s="171">
        <v>0</v>
      </c>
      <c r="X35" s="171">
        <v>0</v>
      </c>
      <c r="Y35" s="172">
        <v>0</v>
      </c>
      <c r="Z35" s="172">
        <v>0</v>
      </c>
      <c r="AA35" s="173">
        <v>0</v>
      </c>
      <c r="AB35" s="172">
        <v>0</v>
      </c>
      <c r="AC35" s="172">
        <v>0</v>
      </c>
      <c r="AD35" s="172">
        <v>0</v>
      </c>
      <c r="AE35" s="171">
        <v>0</v>
      </c>
      <c r="AF35" s="171">
        <v>0</v>
      </c>
      <c r="AG35" s="172">
        <v>0</v>
      </c>
      <c r="AH35" s="172">
        <v>0</v>
      </c>
      <c r="AI35" s="172">
        <v>0</v>
      </c>
      <c r="AJ35" s="171">
        <v>0</v>
      </c>
      <c r="AK35" s="171">
        <v>0</v>
      </c>
      <c r="AL35" s="171">
        <v>0</v>
      </c>
      <c r="AM35" s="171">
        <v>0</v>
      </c>
      <c r="AN35" s="171">
        <v>0</v>
      </c>
      <c r="AO35" s="171">
        <v>0</v>
      </c>
      <c r="AP35" s="172">
        <v>0</v>
      </c>
      <c r="AQ35" s="171">
        <v>0</v>
      </c>
      <c r="AR35" s="171">
        <v>0</v>
      </c>
      <c r="AS35" s="172">
        <v>0</v>
      </c>
      <c r="AT35" s="172">
        <v>0</v>
      </c>
      <c r="AU35" s="171">
        <v>0</v>
      </c>
      <c r="AV35" s="171">
        <v>0</v>
      </c>
      <c r="AW35" s="171"/>
      <c r="AX35" s="181"/>
      <c r="AY35" s="171"/>
      <c r="AZ35" s="181">
        <f>AY35/C35</f>
        <v>0</v>
      </c>
      <c r="BA35" s="171">
        <v>0</v>
      </c>
      <c r="BB35" s="171">
        <v>0</v>
      </c>
    </row>
    <row r="36" spans="1:54" s="174" customFormat="1" x14ac:dyDescent="0.2">
      <c r="A36" s="169" t="s">
        <v>154</v>
      </c>
      <c r="B36" s="170" t="s">
        <v>156</v>
      </c>
      <c r="C36" s="171">
        <v>3.05</v>
      </c>
      <c r="D36" s="171">
        <v>0</v>
      </c>
      <c r="E36" s="171">
        <v>0</v>
      </c>
      <c r="F36" s="171">
        <v>0</v>
      </c>
      <c r="G36" s="171">
        <v>0</v>
      </c>
      <c r="H36" s="171">
        <v>0</v>
      </c>
      <c r="I36" s="171">
        <v>0</v>
      </c>
      <c r="J36" s="111">
        <f t="shared" si="47"/>
        <v>0</v>
      </c>
      <c r="K36" s="111">
        <f t="shared" si="47"/>
        <v>0</v>
      </c>
      <c r="L36" s="111">
        <f t="shared" si="47"/>
        <v>0</v>
      </c>
      <c r="M36" s="172">
        <v>0</v>
      </c>
      <c r="N36" s="172">
        <v>0</v>
      </c>
      <c r="O36" s="172">
        <v>0</v>
      </c>
      <c r="P36" s="172">
        <v>0</v>
      </c>
      <c r="Q36" s="171">
        <v>0</v>
      </c>
      <c r="R36" s="171">
        <f t="shared" si="11"/>
        <v>0</v>
      </c>
      <c r="S36" s="172">
        <f t="shared" si="23"/>
        <v>0</v>
      </c>
      <c r="T36" s="172">
        <f t="shared" si="12"/>
        <v>0</v>
      </c>
      <c r="U36" s="171">
        <v>0</v>
      </c>
      <c r="V36" s="171">
        <f t="shared" si="13"/>
        <v>0</v>
      </c>
      <c r="W36" s="171">
        <v>0</v>
      </c>
      <c r="X36" s="171">
        <v>0</v>
      </c>
      <c r="Y36" s="172">
        <v>0</v>
      </c>
      <c r="Z36" s="172">
        <v>0</v>
      </c>
      <c r="AA36" s="173">
        <v>0</v>
      </c>
      <c r="AB36" s="172">
        <v>0</v>
      </c>
      <c r="AC36" s="172">
        <v>0</v>
      </c>
      <c r="AD36" s="172">
        <v>0</v>
      </c>
      <c r="AE36" s="171">
        <v>0</v>
      </c>
      <c r="AF36" s="171">
        <v>0</v>
      </c>
      <c r="AG36" s="172">
        <v>0</v>
      </c>
      <c r="AH36" s="172">
        <v>0</v>
      </c>
      <c r="AI36" s="172">
        <v>0</v>
      </c>
      <c r="AJ36" s="171">
        <v>0</v>
      </c>
      <c r="AK36" s="171">
        <v>0</v>
      </c>
      <c r="AL36" s="171">
        <v>0</v>
      </c>
      <c r="AM36" s="171">
        <v>0</v>
      </c>
      <c r="AN36" s="171">
        <v>0</v>
      </c>
      <c r="AO36" s="171">
        <v>0</v>
      </c>
      <c r="AP36" s="172">
        <v>0</v>
      </c>
      <c r="AQ36" s="171">
        <v>0</v>
      </c>
      <c r="AR36" s="171">
        <v>0</v>
      </c>
      <c r="AS36" s="172">
        <v>0</v>
      </c>
      <c r="AT36" s="172">
        <v>0</v>
      </c>
      <c r="AU36" s="171">
        <v>0</v>
      </c>
      <c r="AV36" s="171">
        <v>0</v>
      </c>
      <c r="AW36" s="171"/>
      <c r="AX36" s="181"/>
      <c r="AY36" s="171"/>
      <c r="AZ36" s="181">
        <f>AY36/C36</f>
        <v>0</v>
      </c>
      <c r="BA36" s="171">
        <v>0</v>
      </c>
      <c r="BB36" s="171">
        <v>0</v>
      </c>
    </row>
    <row r="37" spans="1:54" x14ac:dyDescent="0.2">
      <c r="A37" s="50"/>
      <c r="B37" s="51"/>
      <c r="C37" s="52"/>
      <c r="D37" s="53"/>
      <c r="E37" s="54"/>
      <c r="F37" s="53"/>
      <c r="G37" s="54"/>
      <c r="H37" s="53"/>
      <c r="I37" s="54"/>
      <c r="J37" s="114"/>
      <c r="K37" s="114"/>
      <c r="L37" s="114"/>
      <c r="M37" s="114"/>
      <c r="N37" s="114"/>
      <c r="O37" s="114"/>
      <c r="P37" s="114"/>
      <c r="Q37" s="53"/>
      <c r="R37" s="55"/>
      <c r="S37" s="114"/>
      <c r="T37" s="114"/>
      <c r="U37" s="53"/>
      <c r="V37" s="55"/>
      <c r="W37" s="53"/>
      <c r="X37" s="55"/>
      <c r="Y37" s="115"/>
      <c r="Z37" s="115"/>
      <c r="AA37" s="115"/>
      <c r="AB37" s="115"/>
      <c r="AC37" s="115"/>
      <c r="AD37" s="115"/>
      <c r="AE37" s="53"/>
      <c r="AF37" s="53"/>
      <c r="AG37" s="116"/>
      <c r="AH37" s="116"/>
      <c r="AI37" s="116"/>
      <c r="AJ37" s="53"/>
      <c r="AK37" s="56"/>
      <c r="AL37" s="53"/>
      <c r="AM37" s="56"/>
      <c r="AN37" s="57"/>
      <c r="AO37" s="58"/>
      <c r="AP37" s="116"/>
      <c r="AQ37" s="53"/>
      <c r="AR37" s="56"/>
      <c r="AS37" s="116"/>
      <c r="AT37" s="116"/>
      <c r="AU37" s="53"/>
      <c r="AV37" s="56"/>
      <c r="AW37" s="53"/>
      <c r="AX37" s="55"/>
      <c r="AY37" s="53"/>
      <c r="AZ37" s="55"/>
      <c r="BA37" s="57"/>
      <c r="BB37" s="58"/>
    </row>
    <row r="38" spans="1:54" x14ac:dyDescent="0.2">
      <c r="A38" s="24"/>
      <c r="B38" s="25" t="s">
        <v>26</v>
      </c>
      <c r="C38" s="26"/>
      <c r="D38" s="27"/>
      <c r="E38" s="28"/>
      <c r="F38" s="27"/>
      <c r="G38" s="28"/>
      <c r="H38" s="27"/>
      <c r="I38" s="28"/>
      <c r="J38" s="28"/>
      <c r="K38" s="28"/>
      <c r="L38" s="28"/>
      <c r="M38" s="28"/>
      <c r="N38" s="28"/>
      <c r="O38" s="28"/>
      <c r="P38" s="28"/>
      <c r="Q38" s="29"/>
      <c r="R38" s="28"/>
      <c r="S38" s="28"/>
      <c r="T38" s="28"/>
      <c r="U38" s="29"/>
      <c r="V38" s="28"/>
      <c r="W38" s="29"/>
      <c r="X38" s="28"/>
      <c r="Y38" s="30"/>
      <c r="Z38" s="30"/>
      <c r="AA38" s="31"/>
      <c r="AB38" s="31"/>
      <c r="AC38" s="31"/>
      <c r="AD38" s="31"/>
      <c r="AE38" s="29"/>
      <c r="AF38" s="28"/>
      <c r="AG38" s="27"/>
      <c r="AH38" s="27"/>
      <c r="AI38" s="27"/>
      <c r="AJ38" s="27"/>
      <c r="AK38" s="27"/>
      <c r="AL38" s="27"/>
      <c r="AM38" s="27"/>
      <c r="AN38" s="28"/>
      <c r="AO38" s="28"/>
      <c r="AP38" s="27"/>
      <c r="AQ38" s="27"/>
      <c r="AR38" s="27"/>
      <c r="AS38" s="27"/>
      <c r="AT38" s="27"/>
      <c r="AU38" s="27"/>
      <c r="AV38" s="27"/>
      <c r="AW38" s="27"/>
      <c r="AX38" s="28"/>
      <c r="AY38" s="27"/>
      <c r="AZ38" s="28"/>
      <c r="BA38" s="28"/>
      <c r="BB38" s="131"/>
    </row>
    <row r="39" spans="1:54" x14ac:dyDescent="0.2">
      <c r="A39" s="59"/>
      <c r="B39" s="60"/>
      <c r="C39" s="61"/>
      <c r="D39" s="33"/>
      <c r="E39" s="62"/>
      <c r="F39" s="33"/>
      <c r="G39" s="62"/>
      <c r="H39" s="33"/>
      <c r="I39" s="62"/>
      <c r="J39" s="117"/>
      <c r="K39" s="117"/>
      <c r="L39" s="117"/>
      <c r="M39" s="117"/>
      <c r="N39" s="117"/>
      <c r="O39" s="117"/>
      <c r="P39" s="117"/>
      <c r="Q39" s="33"/>
      <c r="R39" s="63"/>
      <c r="S39" s="117"/>
      <c r="T39" s="117"/>
      <c r="U39" s="33"/>
      <c r="V39" s="63"/>
      <c r="W39" s="33"/>
      <c r="X39" s="63"/>
      <c r="Y39" s="118"/>
      <c r="Z39" s="118"/>
      <c r="AA39" s="118"/>
      <c r="AB39" s="118"/>
      <c r="AC39" s="118"/>
      <c r="AD39" s="118"/>
      <c r="AE39" s="33"/>
      <c r="AF39" s="33"/>
      <c r="AG39" s="119"/>
      <c r="AH39" s="119"/>
      <c r="AI39" s="119"/>
      <c r="AJ39" s="33"/>
      <c r="AK39" s="64"/>
      <c r="AL39" s="33"/>
      <c r="AM39" s="64"/>
      <c r="AN39" s="34"/>
      <c r="AO39" s="65"/>
      <c r="AP39" s="119"/>
      <c r="AQ39" s="33"/>
      <c r="AR39" s="64"/>
      <c r="AS39" s="119"/>
      <c r="AT39" s="119"/>
      <c r="AU39" s="33"/>
      <c r="AV39" s="64"/>
      <c r="AW39" s="33"/>
      <c r="AX39" s="63"/>
      <c r="AY39" s="33"/>
      <c r="AZ39" s="63"/>
      <c r="BA39" s="34"/>
      <c r="BB39" s="65"/>
    </row>
    <row r="40" spans="1:54" s="67" customFormat="1" ht="14.25" customHeight="1" x14ac:dyDescent="0.2">
      <c r="A40" s="66" t="s">
        <v>37</v>
      </c>
      <c r="B40" s="68" t="s">
        <v>42</v>
      </c>
      <c r="C40" s="46">
        <v>30</v>
      </c>
      <c r="D40" s="42">
        <f t="shared" ref="D40" si="62">ROUND(E40*C40,1)</f>
        <v>1919.5</v>
      </c>
      <c r="E40" s="123">
        <f>RCFs!C$43</f>
        <v>63.983120993999997</v>
      </c>
      <c r="F40" s="124">
        <f t="shared" ref="F40:F87" si="63">ROUNDDOWN($C40*G40,1)</f>
        <v>501.2</v>
      </c>
      <c r="G40" s="123">
        <f>RCFs!C$5</f>
        <v>16.707999999999998</v>
      </c>
      <c r="H40" s="124">
        <f t="shared" ref="H40:H87" si="64">ROUNDDOWN($C40*I40,1)</f>
        <v>501.2</v>
      </c>
      <c r="I40" s="123">
        <f>RCFs!C$5</f>
        <v>16.707999999999998</v>
      </c>
      <c r="J40" s="111">
        <f t="shared" ref="J40:P40" si="65">ROUND($C40*$I40*J$6,1)</f>
        <v>551.4</v>
      </c>
      <c r="K40" s="111">
        <f t="shared" si="65"/>
        <v>686.7</v>
      </c>
      <c r="L40" s="111">
        <f t="shared" si="65"/>
        <v>736.8</v>
      </c>
      <c r="M40" s="111">
        <f t="shared" si="65"/>
        <v>812</v>
      </c>
      <c r="N40" s="111">
        <f t="shared" si="65"/>
        <v>1002.5</v>
      </c>
      <c r="O40" s="111">
        <f t="shared" si="65"/>
        <v>1077.7</v>
      </c>
      <c r="P40" s="111">
        <f t="shared" si="65"/>
        <v>1503.7</v>
      </c>
      <c r="Q40" s="42">
        <f t="shared" ref="Q40:Q87" si="66">ROUNDDOWN(R40*C40,1)</f>
        <v>493.5</v>
      </c>
      <c r="R40" s="125">
        <f>RCFs!C$7</f>
        <v>16.45</v>
      </c>
      <c r="S40" s="111">
        <f t="shared" ref="S40:T40" si="67">ROUNDDOWN($Q40*S$6,1)</f>
        <v>641.5</v>
      </c>
      <c r="T40" s="111">
        <f t="shared" si="67"/>
        <v>740.2</v>
      </c>
      <c r="U40" s="42">
        <f t="shared" ref="U40:U87" si="68">ROUND(V40*C40,1)</f>
        <v>485.8</v>
      </c>
      <c r="V40" s="125">
        <f>RCFs!C$9</f>
        <v>16.192</v>
      </c>
      <c r="W40" s="42">
        <f t="shared" ref="W40" si="69">ROUND(X40*C40,1)</f>
        <v>485.8</v>
      </c>
      <c r="X40" s="125">
        <f>V40</f>
        <v>16.192</v>
      </c>
      <c r="Y40" s="111">
        <f t="shared" ref="Y40:Y87" si="70">ROUNDDOWN($W40*Y$6,1)</f>
        <v>534.29999999999995</v>
      </c>
      <c r="Z40" s="111">
        <f t="shared" ref="Z40:AD40" si="71">ROUND($C40*$X40*Z$6,1)</f>
        <v>665.5</v>
      </c>
      <c r="AA40" s="111">
        <f t="shared" si="71"/>
        <v>786.9</v>
      </c>
      <c r="AB40" s="111">
        <f t="shared" si="71"/>
        <v>714.1</v>
      </c>
      <c r="AC40" s="111">
        <f t="shared" si="71"/>
        <v>1054.0999999999999</v>
      </c>
      <c r="AD40" s="111">
        <f t="shared" si="71"/>
        <v>1457.3</v>
      </c>
      <c r="AE40" s="42">
        <f t="shared" ref="AE40" si="72">ROUND(AF40*C40,1)</f>
        <v>465.6</v>
      </c>
      <c r="AF40" s="125">
        <f>RCFs!C$13</f>
        <v>15.52</v>
      </c>
      <c r="AG40" s="110">
        <f t="shared" ref="AG40:AI40" si="73">ROUND($AE40*AG$6,1)</f>
        <v>768.2</v>
      </c>
      <c r="AH40" s="110">
        <f t="shared" si="73"/>
        <v>977.8</v>
      </c>
      <c r="AI40" s="110">
        <f t="shared" si="73"/>
        <v>1396.8</v>
      </c>
      <c r="AJ40" s="42">
        <f t="shared" ref="AJ40:AJ87" si="74">ROUNDDOWN(C40*AK40,1)</f>
        <v>492.4</v>
      </c>
      <c r="AK40" s="125">
        <f>RCFs!C$25</f>
        <v>16.413333333333334</v>
      </c>
      <c r="AL40" s="42">
        <f t="shared" ref="AL40:AL74" si="75">ROUNDDOWN(C40*AM40,1)</f>
        <v>662.3</v>
      </c>
      <c r="AM40" s="125">
        <f>RCFs!C$29</f>
        <v>22.076666666666664</v>
      </c>
      <c r="AN40" s="42">
        <f t="shared" ref="AN40:AN87" si="76">ROUNDDOWN(C40*AO40,1)</f>
        <v>528.9</v>
      </c>
      <c r="AO40" s="125">
        <f>RCFs!C$33</f>
        <v>17.632999999999999</v>
      </c>
      <c r="AP40" s="110">
        <f t="shared" ref="AP40:AP87" si="77">ROUNDDOWN(AN40*AP$6,1)</f>
        <v>793.3</v>
      </c>
      <c r="AQ40" s="124">
        <f t="shared" ref="AQ40:AQ87" si="78">ROUNDDOWN($C40*AR40,1)</f>
        <v>522.9</v>
      </c>
      <c r="AR40" s="125">
        <f>RCFs!C$35</f>
        <v>17.43</v>
      </c>
      <c r="AS40" s="110">
        <f t="shared" ref="AS40:AS87" si="79">ROUNDDOWN(AQ40*AS$6,1)</f>
        <v>679.7</v>
      </c>
      <c r="AT40" s="110">
        <f t="shared" ref="AT40:AT87" si="80">ROUNDDOWN(AR40*AT$6,1)</f>
        <v>25.2</v>
      </c>
      <c r="AU40" s="124">
        <f t="shared" ref="AU40:AU87" si="81">ROUNDDOWN($C40*AV40,1)</f>
        <v>512.70000000000005</v>
      </c>
      <c r="AV40" s="124">
        <f>RCFs!C$37</f>
        <v>17.09</v>
      </c>
      <c r="AW40" s="124">
        <f>ROUNDDOWN(AX40*C40,1)</f>
        <v>513.70000000000005</v>
      </c>
      <c r="AX40" s="125">
        <f>RCFs!C$64</f>
        <v>17.125999999999998</v>
      </c>
      <c r="AY40" s="124">
        <f t="shared" ref="AY40:AY87" si="82">ROUNDDOWN($C40*AZ40,1)</f>
        <v>523.5</v>
      </c>
      <c r="AZ40" s="125">
        <f>RCFs!C$39</f>
        <v>17.45</v>
      </c>
      <c r="BA40" s="124">
        <f t="shared" ref="BA40:BA87" si="83">ROUNDDOWN($C40*BB40,1)</f>
        <v>500.3</v>
      </c>
      <c r="BB40" s="125">
        <f>RCFs!C$41</f>
        <v>16.678999999999998</v>
      </c>
    </row>
    <row r="41" spans="1:54" s="67" customFormat="1" x14ac:dyDescent="0.2">
      <c r="A41" s="66" t="s">
        <v>35</v>
      </c>
      <c r="B41" s="68" t="s">
        <v>56</v>
      </c>
      <c r="C41" s="46">
        <v>50</v>
      </c>
      <c r="D41" s="42">
        <f t="shared" ref="D41:D87" si="84">ROUND(E41*C41,1)</f>
        <v>3199.2</v>
      </c>
      <c r="E41" s="123">
        <f>RCFs!C$43</f>
        <v>63.983120993999997</v>
      </c>
      <c r="F41" s="124">
        <f t="shared" si="63"/>
        <v>835.4</v>
      </c>
      <c r="G41" s="123">
        <f>RCFs!C$5</f>
        <v>16.707999999999998</v>
      </c>
      <c r="H41" s="124">
        <f t="shared" si="64"/>
        <v>835.4</v>
      </c>
      <c r="I41" s="123">
        <f>RCFs!C$5</f>
        <v>16.707999999999998</v>
      </c>
      <c r="J41" s="111">
        <f t="shared" ref="J41:P50" si="85">ROUND($C41*$I41*J$6,1)</f>
        <v>918.9</v>
      </c>
      <c r="K41" s="111">
        <f t="shared" si="85"/>
        <v>1144.5</v>
      </c>
      <c r="L41" s="111">
        <f t="shared" si="85"/>
        <v>1228</v>
      </c>
      <c r="M41" s="111">
        <f t="shared" si="85"/>
        <v>1353.3</v>
      </c>
      <c r="N41" s="111">
        <f t="shared" si="85"/>
        <v>1670.8</v>
      </c>
      <c r="O41" s="111">
        <f t="shared" si="85"/>
        <v>1796.1</v>
      </c>
      <c r="P41" s="111">
        <f t="shared" si="85"/>
        <v>2506.1999999999998</v>
      </c>
      <c r="Q41" s="42">
        <f t="shared" si="66"/>
        <v>822.5</v>
      </c>
      <c r="R41" s="125">
        <f>RCFs!C$7</f>
        <v>16.45</v>
      </c>
      <c r="S41" s="111">
        <f t="shared" ref="S41:T60" si="86">ROUNDDOWN($Q41*S$6,1)</f>
        <v>1069.2</v>
      </c>
      <c r="T41" s="111">
        <f t="shared" si="86"/>
        <v>1233.7</v>
      </c>
      <c r="U41" s="42">
        <f t="shared" si="68"/>
        <v>809.6</v>
      </c>
      <c r="V41" s="125">
        <f>RCFs!C$9</f>
        <v>16.192</v>
      </c>
      <c r="W41" s="42">
        <f t="shared" ref="W41:W87" si="87">ROUND(X41*C41,1)</f>
        <v>809.6</v>
      </c>
      <c r="X41" s="125">
        <f>V41</f>
        <v>16.192</v>
      </c>
      <c r="Y41" s="111">
        <f t="shared" si="70"/>
        <v>890.5</v>
      </c>
      <c r="Z41" s="111">
        <f t="shared" ref="Z41:AD50" si="88">ROUND($C41*$X41*Z$6,1)</f>
        <v>1109.2</v>
      </c>
      <c r="AA41" s="111">
        <f t="shared" si="88"/>
        <v>1311.6</v>
      </c>
      <c r="AB41" s="111">
        <f t="shared" si="88"/>
        <v>1190.0999999999999</v>
      </c>
      <c r="AC41" s="111">
        <f t="shared" si="88"/>
        <v>1756.8</v>
      </c>
      <c r="AD41" s="111">
        <f t="shared" si="88"/>
        <v>2428.8000000000002</v>
      </c>
      <c r="AE41" s="42">
        <f t="shared" ref="AE41:AE87" si="89">ROUND(AF41*C41,1)</f>
        <v>776</v>
      </c>
      <c r="AF41" s="125">
        <f>RCFs!C$13</f>
        <v>15.52</v>
      </c>
      <c r="AG41" s="110">
        <f t="shared" ref="AG41:AI60" si="90">ROUND($AE41*AG$6,1)</f>
        <v>1280.4000000000001</v>
      </c>
      <c r="AH41" s="110">
        <f t="shared" si="90"/>
        <v>1629.6</v>
      </c>
      <c r="AI41" s="110">
        <f t="shared" si="90"/>
        <v>2328</v>
      </c>
      <c r="AJ41" s="42">
        <f t="shared" si="74"/>
        <v>820.6</v>
      </c>
      <c r="AK41" s="125">
        <f>RCFs!C$25</f>
        <v>16.413333333333334</v>
      </c>
      <c r="AL41" s="42">
        <f t="shared" si="75"/>
        <v>1103.8</v>
      </c>
      <c r="AM41" s="125">
        <f>RCFs!C$29</f>
        <v>22.076666666666664</v>
      </c>
      <c r="AN41" s="42">
        <f t="shared" si="76"/>
        <v>881.6</v>
      </c>
      <c r="AO41" s="125">
        <f>RCFs!C$33</f>
        <v>17.632999999999999</v>
      </c>
      <c r="AP41" s="110">
        <f t="shared" si="77"/>
        <v>1322.4</v>
      </c>
      <c r="AQ41" s="124">
        <f t="shared" si="78"/>
        <v>871.5</v>
      </c>
      <c r="AR41" s="125">
        <f>RCFs!C$35</f>
        <v>17.43</v>
      </c>
      <c r="AS41" s="110">
        <f t="shared" si="79"/>
        <v>1132.9000000000001</v>
      </c>
      <c r="AT41" s="110">
        <f t="shared" si="80"/>
        <v>25.2</v>
      </c>
      <c r="AU41" s="124">
        <f t="shared" si="81"/>
        <v>854.5</v>
      </c>
      <c r="AV41" s="124">
        <f>RCFs!C$37</f>
        <v>17.09</v>
      </c>
      <c r="AW41" s="124">
        <f t="shared" ref="AW41:AW87" si="91">ROUNDDOWN(AX41*C41,1)</f>
        <v>856.3</v>
      </c>
      <c r="AX41" s="125">
        <f>RCFs!C$64</f>
        <v>17.125999999999998</v>
      </c>
      <c r="AY41" s="124">
        <f t="shared" si="82"/>
        <v>872.5</v>
      </c>
      <c r="AZ41" s="125">
        <f>RCFs!C$39</f>
        <v>17.45</v>
      </c>
      <c r="BA41" s="124">
        <f t="shared" si="83"/>
        <v>833.9</v>
      </c>
      <c r="BB41" s="125">
        <f>RCFs!C$41</f>
        <v>16.678999999999998</v>
      </c>
    </row>
    <row r="42" spans="1:54" s="67" customFormat="1" ht="25.5" x14ac:dyDescent="0.2">
      <c r="A42" s="66">
        <v>1193</v>
      </c>
      <c r="B42" s="68" t="s">
        <v>180</v>
      </c>
      <c r="C42" s="46">
        <v>37.76</v>
      </c>
      <c r="D42" s="42">
        <f t="shared" si="84"/>
        <v>2416</v>
      </c>
      <c r="E42" s="123">
        <f>RCFs!C$43</f>
        <v>63.983120993999997</v>
      </c>
      <c r="F42" s="124">
        <f t="shared" si="63"/>
        <v>630.79999999999995</v>
      </c>
      <c r="G42" s="123">
        <f>RCFs!C$5</f>
        <v>16.707999999999998</v>
      </c>
      <c r="H42" s="124">
        <f t="shared" si="64"/>
        <v>630.79999999999995</v>
      </c>
      <c r="I42" s="123">
        <f>RCFs!C$5</f>
        <v>16.707999999999998</v>
      </c>
      <c r="J42" s="111">
        <f t="shared" si="85"/>
        <v>694</v>
      </c>
      <c r="K42" s="111">
        <f t="shared" si="85"/>
        <v>864.3</v>
      </c>
      <c r="L42" s="111">
        <f t="shared" si="85"/>
        <v>927.4</v>
      </c>
      <c r="M42" s="111">
        <f t="shared" si="85"/>
        <v>1022</v>
      </c>
      <c r="N42" s="111">
        <f t="shared" si="85"/>
        <v>1261.8</v>
      </c>
      <c r="O42" s="111">
        <f t="shared" si="85"/>
        <v>1356.4</v>
      </c>
      <c r="P42" s="111">
        <f t="shared" si="85"/>
        <v>1892.7</v>
      </c>
      <c r="Q42" s="42">
        <f t="shared" si="66"/>
        <v>621.1</v>
      </c>
      <c r="R42" s="125">
        <f>RCFs!C$7</f>
        <v>16.45</v>
      </c>
      <c r="S42" s="111">
        <f t="shared" si="86"/>
        <v>807.4</v>
      </c>
      <c r="T42" s="111">
        <f t="shared" si="86"/>
        <v>931.6</v>
      </c>
      <c r="U42" s="42">
        <f t="shared" si="68"/>
        <v>611.4</v>
      </c>
      <c r="V42" s="125">
        <f>RCFs!C$9</f>
        <v>16.192</v>
      </c>
      <c r="W42" s="42">
        <f t="shared" si="87"/>
        <v>611.4</v>
      </c>
      <c r="X42" s="125">
        <f>V42</f>
        <v>16.192</v>
      </c>
      <c r="Y42" s="111">
        <f t="shared" si="70"/>
        <v>672.5</v>
      </c>
      <c r="Z42" s="111">
        <f t="shared" si="88"/>
        <v>837.6</v>
      </c>
      <c r="AA42" s="111">
        <f t="shared" si="88"/>
        <v>990.5</v>
      </c>
      <c r="AB42" s="111">
        <f t="shared" si="88"/>
        <v>898.8</v>
      </c>
      <c r="AC42" s="111">
        <f t="shared" si="88"/>
        <v>1326.8</v>
      </c>
      <c r="AD42" s="111">
        <f t="shared" si="88"/>
        <v>1834.2</v>
      </c>
      <c r="AE42" s="42">
        <f t="shared" si="89"/>
        <v>586</v>
      </c>
      <c r="AF42" s="125">
        <f>RCFs!C$13</f>
        <v>15.52</v>
      </c>
      <c r="AG42" s="110">
        <f t="shared" si="90"/>
        <v>966.9</v>
      </c>
      <c r="AH42" s="110">
        <f t="shared" si="90"/>
        <v>1230.5999999999999</v>
      </c>
      <c r="AI42" s="110">
        <f t="shared" si="90"/>
        <v>1758</v>
      </c>
      <c r="AJ42" s="42">
        <f t="shared" si="74"/>
        <v>619.70000000000005</v>
      </c>
      <c r="AK42" s="125">
        <f>RCFs!C$25</f>
        <v>16.413333333333334</v>
      </c>
      <c r="AL42" s="42">
        <f t="shared" si="75"/>
        <v>833.6</v>
      </c>
      <c r="AM42" s="125">
        <f>RCFs!C$29</f>
        <v>22.076666666666664</v>
      </c>
      <c r="AN42" s="42">
        <f t="shared" si="76"/>
        <v>665.8</v>
      </c>
      <c r="AO42" s="125">
        <f>RCFs!C$33</f>
        <v>17.632999999999999</v>
      </c>
      <c r="AP42" s="110">
        <f t="shared" si="77"/>
        <v>998.7</v>
      </c>
      <c r="AQ42" s="124">
        <f t="shared" si="78"/>
        <v>658.1</v>
      </c>
      <c r="AR42" s="125">
        <f>RCFs!C$35</f>
        <v>17.43</v>
      </c>
      <c r="AS42" s="110">
        <f t="shared" si="79"/>
        <v>855.5</v>
      </c>
      <c r="AT42" s="110">
        <f t="shared" si="80"/>
        <v>25.2</v>
      </c>
      <c r="AU42" s="124">
        <f t="shared" si="81"/>
        <v>645.29999999999995</v>
      </c>
      <c r="AV42" s="124">
        <f>RCFs!C$37</f>
        <v>17.09</v>
      </c>
      <c r="AW42" s="124">
        <f t="shared" si="91"/>
        <v>646.6</v>
      </c>
      <c r="AX42" s="125">
        <f>RCFs!C$64</f>
        <v>17.125999999999998</v>
      </c>
      <c r="AY42" s="124">
        <f t="shared" si="82"/>
        <v>658.9</v>
      </c>
      <c r="AZ42" s="125">
        <f>RCFs!C$39</f>
        <v>17.45</v>
      </c>
      <c r="BA42" s="124">
        <f t="shared" si="83"/>
        <v>629.70000000000005</v>
      </c>
      <c r="BB42" s="125">
        <f>RCFs!C$41</f>
        <v>16.678999999999998</v>
      </c>
    </row>
    <row r="43" spans="1:54" s="67" customFormat="1" ht="25.5" x14ac:dyDescent="0.2">
      <c r="A43" s="66">
        <v>1196</v>
      </c>
      <c r="B43" s="68" t="s">
        <v>181</v>
      </c>
      <c r="C43" s="46">
        <v>45.31</v>
      </c>
      <c r="D43" s="42">
        <f t="shared" si="84"/>
        <v>2899.1</v>
      </c>
      <c r="E43" s="123">
        <f>RCFs!C$43</f>
        <v>63.983120993999997</v>
      </c>
      <c r="F43" s="124">
        <f t="shared" si="63"/>
        <v>757</v>
      </c>
      <c r="G43" s="123">
        <f>RCFs!C$5</f>
        <v>16.707999999999998</v>
      </c>
      <c r="H43" s="124">
        <f t="shared" si="64"/>
        <v>757</v>
      </c>
      <c r="I43" s="123">
        <f>RCFs!C$5</f>
        <v>16.707999999999998</v>
      </c>
      <c r="J43" s="111">
        <f t="shared" si="85"/>
        <v>832.7</v>
      </c>
      <c r="K43" s="111">
        <f t="shared" si="85"/>
        <v>1037.0999999999999</v>
      </c>
      <c r="L43" s="111">
        <f t="shared" si="85"/>
        <v>1112.8</v>
      </c>
      <c r="M43" s="111">
        <f t="shared" si="85"/>
        <v>1226.4000000000001</v>
      </c>
      <c r="N43" s="111">
        <f t="shared" si="85"/>
        <v>1514.1</v>
      </c>
      <c r="O43" s="111">
        <f t="shared" si="85"/>
        <v>1627.6</v>
      </c>
      <c r="P43" s="111">
        <f t="shared" si="85"/>
        <v>2271.1</v>
      </c>
      <c r="Q43" s="42">
        <f t="shared" si="66"/>
        <v>745.3</v>
      </c>
      <c r="R43" s="125">
        <f>RCFs!C$7</f>
        <v>16.45</v>
      </c>
      <c r="S43" s="111">
        <f t="shared" si="86"/>
        <v>968.8</v>
      </c>
      <c r="T43" s="111">
        <f t="shared" si="86"/>
        <v>1117.9000000000001</v>
      </c>
      <c r="U43" s="42">
        <f t="shared" si="68"/>
        <v>733.7</v>
      </c>
      <c r="V43" s="125">
        <f>RCFs!C$9</f>
        <v>16.192</v>
      </c>
      <c r="W43" s="42">
        <f t="shared" si="87"/>
        <v>733.7</v>
      </c>
      <c r="X43" s="125">
        <f>V43</f>
        <v>16.192</v>
      </c>
      <c r="Y43" s="111">
        <f t="shared" si="70"/>
        <v>807</v>
      </c>
      <c r="Z43" s="111">
        <f t="shared" si="88"/>
        <v>1005.1</v>
      </c>
      <c r="AA43" s="111">
        <f t="shared" si="88"/>
        <v>1188.5</v>
      </c>
      <c r="AB43" s="111">
        <f t="shared" si="88"/>
        <v>1078.5</v>
      </c>
      <c r="AC43" s="111">
        <f t="shared" si="88"/>
        <v>1592</v>
      </c>
      <c r="AD43" s="111">
        <f t="shared" si="88"/>
        <v>2201</v>
      </c>
      <c r="AE43" s="42">
        <f t="shared" si="89"/>
        <v>703.2</v>
      </c>
      <c r="AF43" s="125">
        <f>RCFs!C$13</f>
        <v>15.52</v>
      </c>
      <c r="AG43" s="110">
        <f t="shared" si="90"/>
        <v>1160.3</v>
      </c>
      <c r="AH43" s="110">
        <f t="shared" si="90"/>
        <v>1476.7</v>
      </c>
      <c r="AI43" s="110">
        <f t="shared" si="90"/>
        <v>2109.6</v>
      </c>
      <c r="AJ43" s="42">
        <f t="shared" si="74"/>
        <v>743.6</v>
      </c>
      <c r="AK43" s="125">
        <f>RCFs!C$25</f>
        <v>16.413333333333334</v>
      </c>
      <c r="AL43" s="42">
        <f t="shared" si="75"/>
        <v>1000.2</v>
      </c>
      <c r="AM43" s="125">
        <f>RCFs!C$29</f>
        <v>22.076666666666664</v>
      </c>
      <c r="AN43" s="42">
        <f t="shared" si="76"/>
        <v>798.9</v>
      </c>
      <c r="AO43" s="125">
        <f>RCFs!C$33</f>
        <v>17.632999999999999</v>
      </c>
      <c r="AP43" s="110">
        <f t="shared" si="77"/>
        <v>1198.3</v>
      </c>
      <c r="AQ43" s="124">
        <f t="shared" si="78"/>
        <v>789.7</v>
      </c>
      <c r="AR43" s="125">
        <f>RCFs!C$35</f>
        <v>17.43</v>
      </c>
      <c r="AS43" s="110">
        <f t="shared" si="79"/>
        <v>1026.5999999999999</v>
      </c>
      <c r="AT43" s="110">
        <f t="shared" si="80"/>
        <v>25.2</v>
      </c>
      <c r="AU43" s="124">
        <f t="shared" si="81"/>
        <v>774.3</v>
      </c>
      <c r="AV43" s="124">
        <f>RCFs!C$37</f>
        <v>17.09</v>
      </c>
      <c r="AW43" s="124">
        <f t="shared" si="91"/>
        <v>775.9</v>
      </c>
      <c r="AX43" s="125">
        <f>RCFs!C$64</f>
        <v>17.125999999999998</v>
      </c>
      <c r="AY43" s="124">
        <f t="shared" si="82"/>
        <v>790.6</v>
      </c>
      <c r="AZ43" s="125">
        <f>RCFs!C$39</f>
        <v>17.45</v>
      </c>
      <c r="BA43" s="124">
        <f t="shared" si="83"/>
        <v>755.7</v>
      </c>
      <c r="BB43" s="125">
        <f>RCFs!C$41</f>
        <v>16.678999999999998</v>
      </c>
    </row>
    <row r="44" spans="1:54" s="67" customFormat="1" x14ac:dyDescent="0.2">
      <c r="A44" s="66">
        <v>1200</v>
      </c>
      <c r="B44" s="68" t="s">
        <v>182</v>
      </c>
      <c r="C44" s="46">
        <v>38.06</v>
      </c>
      <c r="D44" s="42">
        <f t="shared" si="84"/>
        <v>2435.1999999999998</v>
      </c>
      <c r="E44" s="123">
        <f>RCFs!C$43</f>
        <v>63.983120993999997</v>
      </c>
      <c r="F44" s="124">
        <f t="shared" si="63"/>
        <v>635.9</v>
      </c>
      <c r="G44" s="123">
        <f>RCFs!C$5</f>
        <v>16.707999999999998</v>
      </c>
      <c r="H44" s="124">
        <f t="shared" si="64"/>
        <v>635.9</v>
      </c>
      <c r="I44" s="123">
        <f>RCFs!C$5</f>
        <v>16.707999999999998</v>
      </c>
      <c r="J44" s="111">
        <f t="shared" si="85"/>
        <v>699.5</v>
      </c>
      <c r="K44" s="111">
        <f t="shared" si="85"/>
        <v>871.2</v>
      </c>
      <c r="L44" s="111">
        <f t="shared" si="85"/>
        <v>934.8</v>
      </c>
      <c r="M44" s="111">
        <f t="shared" si="85"/>
        <v>1030.2</v>
      </c>
      <c r="N44" s="111">
        <f t="shared" si="85"/>
        <v>1271.8</v>
      </c>
      <c r="O44" s="111">
        <f t="shared" si="85"/>
        <v>1367.2</v>
      </c>
      <c r="P44" s="111">
        <f t="shared" si="85"/>
        <v>1907.7</v>
      </c>
      <c r="Q44" s="42">
        <f t="shared" si="66"/>
        <v>626</v>
      </c>
      <c r="R44" s="125">
        <f>RCFs!C$7</f>
        <v>16.45</v>
      </c>
      <c r="S44" s="111">
        <f t="shared" si="86"/>
        <v>813.8</v>
      </c>
      <c r="T44" s="111">
        <f t="shared" si="86"/>
        <v>939</v>
      </c>
      <c r="U44" s="42">
        <f t="shared" si="68"/>
        <v>616.29999999999995</v>
      </c>
      <c r="V44" s="125">
        <f>RCFs!C$9</f>
        <v>16.192</v>
      </c>
      <c r="W44" s="42">
        <f t="shared" si="87"/>
        <v>616.29999999999995</v>
      </c>
      <c r="X44" s="125">
        <f>V44</f>
        <v>16.192</v>
      </c>
      <c r="Y44" s="111">
        <f t="shared" si="70"/>
        <v>677.9</v>
      </c>
      <c r="Z44" s="111">
        <f t="shared" si="88"/>
        <v>844.3</v>
      </c>
      <c r="AA44" s="111">
        <f t="shared" si="88"/>
        <v>998.4</v>
      </c>
      <c r="AB44" s="111">
        <f t="shared" si="88"/>
        <v>905.9</v>
      </c>
      <c r="AC44" s="111">
        <f t="shared" si="88"/>
        <v>1337.3</v>
      </c>
      <c r="AD44" s="111">
        <f t="shared" si="88"/>
        <v>1848.8</v>
      </c>
      <c r="AE44" s="42">
        <f t="shared" si="89"/>
        <v>590.70000000000005</v>
      </c>
      <c r="AF44" s="125">
        <f>RCFs!C$13</f>
        <v>15.52</v>
      </c>
      <c r="AG44" s="110">
        <f t="shared" si="90"/>
        <v>974.7</v>
      </c>
      <c r="AH44" s="110">
        <f t="shared" si="90"/>
        <v>1240.5</v>
      </c>
      <c r="AI44" s="110">
        <f t="shared" si="90"/>
        <v>1772.1</v>
      </c>
      <c r="AJ44" s="42">
        <f t="shared" si="74"/>
        <v>624.6</v>
      </c>
      <c r="AK44" s="125">
        <f>RCFs!C$25</f>
        <v>16.413333333333334</v>
      </c>
      <c r="AL44" s="42">
        <f t="shared" si="75"/>
        <v>840.2</v>
      </c>
      <c r="AM44" s="125">
        <f>RCFs!C$29</f>
        <v>22.076666666666664</v>
      </c>
      <c r="AN44" s="42">
        <f t="shared" si="76"/>
        <v>671.1</v>
      </c>
      <c r="AO44" s="125">
        <f>RCFs!C$33</f>
        <v>17.632999999999999</v>
      </c>
      <c r="AP44" s="110">
        <f t="shared" si="77"/>
        <v>1006.6</v>
      </c>
      <c r="AQ44" s="124">
        <f t="shared" si="78"/>
        <v>663.3</v>
      </c>
      <c r="AR44" s="125">
        <f>RCFs!C$35</f>
        <v>17.43</v>
      </c>
      <c r="AS44" s="110">
        <f t="shared" si="79"/>
        <v>862.2</v>
      </c>
      <c r="AT44" s="110">
        <f t="shared" si="80"/>
        <v>25.2</v>
      </c>
      <c r="AU44" s="124">
        <f t="shared" si="81"/>
        <v>650.4</v>
      </c>
      <c r="AV44" s="124">
        <f>RCFs!C$37</f>
        <v>17.09</v>
      </c>
      <c r="AW44" s="124">
        <f t="shared" si="91"/>
        <v>651.79999999999995</v>
      </c>
      <c r="AX44" s="125">
        <f>RCFs!C$64</f>
        <v>17.125999999999998</v>
      </c>
      <c r="AY44" s="124">
        <f t="shared" si="82"/>
        <v>664.1</v>
      </c>
      <c r="AZ44" s="125">
        <f>RCFs!C$39</f>
        <v>17.45</v>
      </c>
      <c r="BA44" s="124">
        <f t="shared" si="83"/>
        <v>634.79999999999995</v>
      </c>
      <c r="BB44" s="125">
        <f>RCFs!C$41</f>
        <v>16.678999999999998</v>
      </c>
    </row>
    <row r="45" spans="1:54" s="67" customFormat="1" x14ac:dyDescent="0.2">
      <c r="A45" s="66" t="s">
        <v>32</v>
      </c>
      <c r="B45" s="68" t="s">
        <v>57</v>
      </c>
      <c r="C45" s="46">
        <v>30</v>
      </c>
      <c r="D45" s="42">
        <f t="shared" si="84"/>
        <v>1919.5</v>
      </c>
      <c r="E45" s="123">
        <f>RCFs!C$43</f>
        <v>63.983120993999997</v>
      </c>
      <c r="F45" s="124">
        <f t="shared" si="63"/>
        <v>501.2</v>
      </c>
      <c r="G45" s="123">
        <f>RCFs!C$5</f>
        <v>16.707999999999998</v>
      </c>
      <c r="H45" s="124">
        <f t="shared" si="64"/>
        <v>501.2</v>
      </c>
      <c r="I45" s="123">
        <f>RCFs!C$5</f>
        <v>16.707999999999998</v>
      </c>
      <c r="J45" s="111">
        <f t="shared" si="85"/>
        <v>551.4</v>
      </c>
      <c r="K45" s="111">
        <f t="shared" si="85"/>
        <v>686.7</v>
      </c>
      <c r="L45" s="111">
        <f t="shared" si="85"/>
        <v>736.8</v>
      </c>
      <c r="M45" s="111">
        <f t="shared" si="85"/>
        <v>812</v>
      </c>
      <c r="N45" s="111">
        <f t="shared" si="85"/>
        <v>1002.5</v>
      </c>
      <c r="O45" s="111">
        <f t="shared" si="85"/>
        <v>1077.7</v>
      </c>
      <c r="P45" s="111">
        <f t="shared" si="85"/>
        <v>1503.7</v>
      </c>
      <c r="Q45" s="42">
        <f t="shared" si="66"/>
        <v>493.5</v>
      </c>
      <c r="R45" s="125">
        <f>RCFs!C$7</f>
        <v>16.45</v>
      </c>
      <c r="S45" s="111">
        <f t="shared" si="86"/>
        <v>641.5</v>
      </c>
      <c r="T45" s="111">
        <f t="shared" si="86"/>
        <v>740.2</v>
      </c>
      <c r="U45" s="42">
        <f t="shared" si="68"/>
        <v>460.1</v>
      </c>
      <c r="V45" s="125">
        <f>RCFs!$S$54</f>
        <v>15.336666666666668</v>
      </c>
      <c r="W45" s="42">
        <f t="shared" si="87"/>
        <v>490.2</v>
      </c>
      <c r="X45" s="125">
        <f>RCFs!$S$56</f>
        <v>16.34</v>
      </c>
      <c r="Y45" s="111">
        <f t="shared" si="70"/>
        <v>539.20000000000005</v>
      </c>
      <c r="Z45" s="111">
        <f t="shared" si="88"/>
        <v>671.6</v>
      </c>
      <c r="AA45" s="111">
        <f t="shared" si="88"/>
        <v>794.1</v>
      </c>
      <c r="AB45" s="111">
        <f t="shared" si="88"/>
        <v>720.6</v>
      </c>
      <c r="AC45" s="111">
        <f t="shared" si="88"/>
        <v>1063.7</v>
      </c>
      <c r="AD45" s="111">
        <f t="shared" si="88"/>
        <v>1470.6</v>
      </c>
      <c r="AE45" s="42">
        <f t="shared" si="89"/>
        <v>465.6</v>
      </c>
      <c r="AF45" s="125">
        <f>RCFs!C$13</f>
        <v>15.52</v>
      </c>
      <c r="AG45" s="110">
        <f t="shared" si="90"/>
        <v>768.2</v>
      </c>
      <c r="AH45" s="110">
        <f t="shared" si="90"/>
        <v>977.8</v>
      </c>
      <c r="AI45" s="110">
        <f t="shared" si="90"/>
        <v>1396.8</v>
      </c>
      <c r="AJ45" s="42">
        <f t="shared" si="74"/>
        <v>492.4</v>
      </c>
      <c r="AK45" s="125">
        <f>RCFs!C$25</f>
        <v>16.413333333333334</v>
      </c>
      <c r="AL45" s="42">
        <f t="shared" si="75"/>
        <v>662.3</v>
      </c>
      <c r="AM45" s="125">
        <f>RCFs!C$29</f>
        <v>22.076666666666664</v>
      </c>
      <c r="AN45" s="42">
        <f t="shared" si="76"/>
        <v>528.9</v>
      </c>
      <c r="AO45" s="125">
        <f>RCFs!C$33</f>
        <v>17.632999999999999</v>
      </c>
      <c r="AP45" s="110">
        <f t="shared" si="77"/>
        <v>793.3</v>
      </c>
      <c r="AQ45" s="124">
        <f t="shared" si="78"/>
        <v>522.9</v>
      </c>
      <c r="AR45" s="125">
        <f>RCFs!C$35</f>
        <v>17.43</v>
      </c>
      <c r="AS45" s="110">
        <f t="shared" si="79"/>
        <v>679.7</v>
      </c>
      <c r="AT45" s="110">
        <f t="shared" si="80"/>
        <v>25.2</v>
      </c>
      <c r="AU45" s="124">
        <f t="shared" si="81"/>
        <v>512.70000000000005</v>
      </c>
      <c r="AV45" s="124">
        <f>RCFs!C$37</f>
        <v>17.09</v>
      </c>
      <c r="AW45" s="124">
        <f t="shared" si="91"/>
        <v>513.70000000000005</v>
      </c>
      <c r="AX45" s="125">
        <f>RCFs!C$64</f>
        <v>17.125999999999998</v>
      </c>
      <c r="AY45" s="124">
        <f t="shared" si="82"/>
        <v>523.5</v>
      </c>
      <c r="AZ45" s="125">
        <f>RCFs!C$39</f>
        <v>17.45</v>
      </c>
      <c r="BA45" s="124">
        <f t="shared" si="83"/>
        <v>500.3</v>
      </c>
      <c r="BB45" s="125">
        <f>RCFs!C$41</f>
        <v>16.678999999999998</v>
      </c>
    </row>
    <row r="46" spans="1:54" s="67" customFormat="1" ht="25.5" x14ac:dyDescent="0.2">
      <c r="A46" s="66" t="s">
        <v>31</v>
      </c>
      <c r="B46" s="68" t="s">
        <v>58</v>
      </c>
      <c r="C46" s="46">
        <v>100</v>
      </c>
      <c r="D46" s="42">
        <f t="shared" si="84"/>
        <v>6398.3</v>
      </c>
      <c r="E46" s="123">
        <f>RCFs!C$43</f>
        <v>63.983120993999997</v>
      </c>
      <c r="F46" s="124">
        <f t="shared" si="63"/>
        <v>1670.8</v>
      </c>
      <c r="G46" s="123">
        <f>RCFs!C$5</f>
        <v>16.707999999999998</v>
      </c>
      <c r="H46" s="124">
        <f t="shared" si="64"/>
        <v>1670.8</v>
      </c>
      <c r="I46" s="123">
        <f>RCFs!C$5</f>
        <v>16.707999999999998</v>
      </c>
      <c r="J46" s="111">
        <f t="shared" si="85"/>
        <v>1837.9</v>
      </c>
      <c r="K46" s="111">
        <f t="shared" si="85"/>
        <v>2289</v>
      </c>
      <c r="L46" s="111">
        <f t="shared" si="85"/>
        <v>2456.1</v>
      </c>
      <c r="M46" s="111">
        <f t="shared" si="85"/>
        <v>2706.7</v>
      </c>
      <c r="N46" s="111">
        <f t="shared" si="85"/>
        <v>3341.6</v>
      </c>
      <c r="O46" s="111">
        <f t="shared" si="85"/>
        <v>3592.2</v>
      </c>
      <c r="P46" s="111">
        <f t="shared" si="85"/>
        <v>5012.3999999999996</v>
      </c>
      <c r="Q46" s="42">
        <f t="shared" si="66"/>
        <v>1645</v>
      </c>
      <c r="R46" s="125">
        <f>RCFs!C$7</f>
        <v>16.45</v>
      </c>
      <c r="S46" s="111">
        <f t="shared" si="86"/>
        <v>2138.5</v>
      </c>
      <c r="T46" s="111">
        <f t="shared" si="86"/>
        <v>2467.5</v>
      </c>
      <c r="U46" s="42">
        <f t="shared" si="68"/>
        <v>1533.7</v>
      </c>
      <c r="V46" s="125">
        <f>RCFs!$S$54</f>
        <v>15.336666666666668</v>
      </c>
      <c r="W46" s="42">
        <f t="shared" si="87"/>
        <v>1634</v>
      </c>
      <c r="X46" s="125">
        <f>RCFs!$S$56</f>
        <v>16.34</v>
      </c>
      <c r="Y46" s="111">
        <f t="shared" si="70"/>
        <v>1797.4</v>
      </c>
      <c r="Z46" s="111">
        <f t="shared" si="88"/>
        <v>2238.6</v>
      </c>
      <c r="AA46" s="111">
        <f t="shared" si="88"/>
        <v>2647.1</v>
      </c>
      <c r="AB46" s="111">
        <f t="shared" si="88"/>
        <v>2402</v>
      </c>
      <c r="AC46" s="111">
        <f t="shared" si="88"/>
        <v>3545.8</v>
      </c>
      <c r="AD46" s="111">
        <f t="shared" si="88"/>
        <v>4902</v>
      </c>
      <c r="AE46" s="42">
        <f t="shared" si="89"/>
        <v>1552</v>
      </c>
      <c r="AF46" s="125">
        <f>RCFs!C$13</f>
        <v>15.52</v>
      </c>
      <c r="AG46" s="110">
        <f t="shared" si="90"/>
        <v>2560.8000000000002</v>
      </c>
      <c r="AH46" s="110">
        <f t="shared" si="90"/>
        <v>3259.2</v>
      </c>
      <c r="AI46" s="110">
        <f t="shared" si="90"/>
        <v>4656</v>
      </c>
      <c r="AJ46" s="42">
        <f t="shared" si="74"/>
        <v>1641.3</v>
      </c>
      <c r="AK46" s="125">
        <f>RCFs!C$25</f>
        <v>16.413333333333334</v>
      </c>
      <c r="AL46" s="42">
        <f t="shared" si="75"/>
        <v>2207.6</v>
      </c>
      <c r="AM46" s="125">
        <f>RCFs!C$29</f>
        <v>22.076666666666664</v>
      </c>
      <c r="AN46" s="42">
        <f t="shared" si="76"/>
        <v>1763.3</v>
      </c>
      <c r="AO46" s="125">
        <f>RCFs!C$33</f>
        <v>17.632999999999999</v>
      </c>
      <c r="AP46" s="110">
        <f t="shared" si="77"/>
        <v>2644.9</v>
      </c>
      <c r="AQ46" s="124">
        <f t="shared" si="78"/>
        <v>1743</v>
      </c>
      <c r="AR46" s="125">
        <f>RCFs!C$35</f>
        <v>17.43</v>
      </c>
      <c r="AS46" s="110">
        <f t="shared" si="79"/>
        <v>2265.9</v>
      </c>
      <c r="AT46" s="110">
        <f t="shared" si="80"/>
        <v>25.2</v>
      </c>
      <c r="AU46" s="124">
        <f t="shared" si="81"/>
        <v>1709</v>
      </c>
      <c r="AV46" s="124">
        <f>RCFs!C$37</f>
        <v>17.09</v>
      </c>
      <c r="AW46" s="124">
        <f t="shared" si="91"/>
        <v>1712.6</v>
      </c>
      <c r="AX46" s="125">
        <f>RCFs!C$64</f>
        <v>17.125999999999998</v>
      </c>
      <c r="AY46" s="124">
        <f t="shared" si="82"/>
        <v>1745</v>
      </c>
      <c r="AZ46" s="125">
        <f>RCFs!C$39</f>
        <v>17.45</v>
      </c>
      <c r="BA46" s="124">
        <f t="shared" si="83"/>
        <v>1667.9</v>
      </c>
      <c r="BB46" s="125">
        <f>RCFs!C$41</f>
        <v>16.678999999999998</v>
      </c>
    </row>
    <row r="47" spans="1:54" s="67" customFormat="1" ht="25.5" x14ac:dyDescent="0.2">
      <c r="A47" s="66" t="s">
        <v>28</v>
      </c>
      <c r="B47" s="68" t="s">
        <v>59</v>
      </c>
      <c r="C47" s="46">
        <v>50</v>
      </c>
      <c r="D47" s="42">
        <f t="shared" si="84"/>
        <v>3199.2</v>
      </c>
      <c r="E47" s="123">
        <f>RCFs!C$43</f>
        <v>63.983120993999997</v>
      </c>
      <c r="F47" s="124">
        <f t="shared" si="63"/>
        <v>835.4</v>
      </c>
      <c r="G47" s="123">
        <f>RCFs!C$5</f>
        <v>16.707999999999998</v>
      </c>
      <c r="H47" s="124">
        <f t="shared" si="64"/>
        <v>835.4</v>
      </c>
      <c r="I47" s="123">
        <f>RCFs!C$5</f>
        <v>16.707999999999998</v>
      </c>
      <c r="J47" s="111">
        <f t="shared" si="85"/>
        <v>918.9</v>
      </c>
      <c r="K47" s="111">
        <f t="shared" si="85"/>
        <v>1144.5</v>
      </c>
      <c r="L47" s="111">
        <f t="shared" si="85"/>
        <v>1228</v>
      </c>
      <c r="M47" s="111">
        <f t="shared" si="85"/>
        <v>1353.3</v>
      </c>
      <c r="N47" s="111">
        <f t="shared" si="85"/>
        <v>1670.8</v>
      </c>
      <c r="O47" s="111">
        <f t="shared" si="85"/>
        <v>1796.1</v>
      </c>
      <c r="P47" s="111">
        <f t="shared" si="85"/>
        <v>2506.1999999999998</v>
      </c>
      <c r="Q47" s="42">
        <f t="shared" si="66"/>
        <v>822.5</v>
      </c>
      <c r="R47" s="125">
        <f>RCFs!C$7</f>
        <v>16.45</v>
      </c>
      <c r="S47" s="111">
        <f t="shared" si="86"/>
        <v>1069.2</v>
      </c>
      <c r="T47" s="111">
        <f t="shared" si="86"/>
        <v>1233.7</v>
      </c>
      <c r="U47" s="42">
        <f t="shared" si="68"/>
        <v>766.8</v>
      </c>
      <c r="V47" s="125">
        <f>RCFs!$S$54</f>
        <v>15.336666666666668</v>
      </c>
      <c r="W47" s="42">
        <f t="shared" si="87"/>
        <v>817</v>
      </c>
      <c r="X47" s="125">
        <f>RCFs!$S$56</f>
        <v>16.34</v>
      </c>
      <c r="Y47" s="111">
        <f t="shared" si="70"/>
        <v>898.7</v>
      </c>
      <c r="Z47" s="111">
        <f t="shared" si="88"/>
        <v>1119.3</v>
      </c>
      <c r="AA47" s="111">
        <f t="shared" si="88"/>
        <v>1323.5</v>
      </c>
      <c r="AB47" s="111">
        <f t="shared" si="88"/>
        <v>1201</v>
      </c>
      <c r="AC47" s="111">
        <f t="shared" si="88"/>
        <v>1772.9</v>
      </c>
      <c r="AD47" s="111">
        <f t="shared" si="88"/>
        <v>2451</v>
      </c>
      <c r="AE47" s="42">
        <f t="shared" si="89"/>
        <v>776</v>
      </c>
      <c r="AF47" s="125">
        <f>RCFs!C$13</f>
        <v>15.52</v>
      </c>
      <c r="AG47" s="110">
        <f t="shared" si="90"/>
        <v>1280.4000000000001</v>
      </c>
      <c r="AH47" s="110">
        <f t="shared" si="90"/>
        <v>1629.6</v>
      </c>
      <c r="AI47" s="110">
        <f t="shared" si="90"/>
        <v>2328</v>
      </c>
      <c r="AJ47" s="42">
        <f t="shared" si="74"/>
        <v>820.6</v>
      </c>
      <c r="AK47" s="125">
        <f>RCFs!C$25</f>
        <v>16.413333333333334</v>
      </c>
      <c r="AL47" s="42">
        <f t="shared" si="75"/>
        <v>1103.8</v>
      </c>
      <c r="AM47" s="125">
        <f>RCFs!C$29</f>
        <v>22.076666666666664</v>
      </c>
      <c r="AN47" s="42">
        <f t="shared" si="76"/>
        <v>881.6</v>
      </c>
      <c r="AO47" s="125">
        <f>RCFs!C$33</f>
        <v>17.632999999999999</v>
      </c>
      <c r="AP47" s="110">
        <f t="shared" si="77"/>
        <v>1322.4</v>
      </c>
      <c r="AQ47" s="124">
        <f t="shared" si="78"/>
        <v>871.5</v>
      </c>
      <c r="AR47" s="125">
        <f>RCFs!C$35</f>
        <v>17.43</v>
      </c>
      <c r="AS47" s="110">
        <f t="shared" si="79"/>
        <v>1132.9000000000001</v>
      </c>
      <c r="AT47" s="110">
        <f t="shared" si="80"/>
        <v>25.2</v>
      </c>
      <c r="AU47" s="124">
        <f t="shared" si="81"/>
        <v>854.5</v>
      </c>
      <c r="AV47" s="124">
        <f>RCFs!C$37</f>
        <v>17.09</v>
      </c>
      <c r="AW47" s="124">
        <f t="shared" si="91"/>
        <v>856.3</v>
      </c>
      <c r="AX47" s="125">
        <f>RCFs!C$64</f>
        <v>17.125999999999998</v>
      </c>
      <c r="AY47" s="124">
        <f t="shared" si="82"/>
        <v>872.5</v>
      </c>
      <c r="AZ47" s="125">
        <f>RCFs!C$39</f>
        <v>17.45</v>
      </c>
      <c r="BA47" s="124">
        <f t="shared" si="83"/>
        <v>833.9</v>
      </c>
      <c r="BB47" s="125">
        <f>RCFs!C$41</f>
        <v>16.678999999999998</v>
      </c>
    </row>
    <row r="48" spans="1:54" s="67" customFormat="1" ht="63.75" x14ac:dyDescent="0.2">
      <c r="A48" s="128" t="s">
        <v>117</v>
      </c>
      <c r="B48" s="129" t="s">
        <v>119</v>
      </c>
      <c r="C48" s="130">
        <v>30</v>
      </c>
      <c r="D48" s="42">
        <f t="shared" si="84"/>
        <v>1919.5</v>
      </c>
      <c r="E48" s="123">
        <f>RCFs!C$43</f>
        <v>63.983120993999997</v>
      </c>
      <c r="F48" s="124">
        <f t="shared" si="63"/>
        <v>501.2</v>
      </c>
      <c r="G48" s="123">
        <f>RCFs!C$5</f>
        <v>16.707999999999998</v>
      </c>
      <c r="H48" s="124">
        <f t="shared" si="64"/>
        <v>501.2</v>
      </c>
      <c r="I48" s="123">
        <f>RCFs!C$5</f>
        <v>16.707999999999998</v>
      </c>
      <c r="J48" s="111">
        <f t="shared" si="85"/>
        <v>551.4</v>
      </c>
      <c r="K48" s="111">
        <f t="shared" si="85"/>
        <v>686.7</v>
      </c>
      <c r="L48" s="111">
        <f t="shared" si="85"/>
        <v>736.8</v>
      </c>
      <c r="M48" s="111">
        <f t="shared" si="85"/>
        <v>812</v>
      </c>
      <c r="N48" s="111">
        <f t="shared" si="85"/>
        <v>1002.5</v>
      </c>
      <c r="O48" s="111">
        <f t="shared" si="85"/>
        <v>1077.7</v>
      </c>
      <c r="P48" s="111">
        <f t="shared" si="85"/>
        <v>1503.7</v>
      </c>
      <c r="Q48" s="42">
        <f t="shared" si="66"/>
        <v>493.5</v>
      </c>
      <c r="R48" s="125">
        <f>RCFs!C$7</f>
        <v>16.45</v>
      </c>
      <c r="S48" s="111">
        <f t="shared" si="86"/>
        <v>641.5</v>
      </c>
      <c r="T48" s="111">
        <f t="shared" si="86"/>
        <v>740.2</v>
      </c>
      <c r="U48" s="42">
        <f t="shared" si="68"/>
        <v>460.1</v>
      </c>
      <c r="V48" s="125">
        <f>RCFs!$S$54</f>
        <v>15.336666666666668</v>
      </c>
      <c r="W48" s="42">
        <f t="shared" si="87"/>
        <v>490.2</v>
      </c>
      <c r="X48" s="125">
        <f>RCFs!$S$56</f>
        <v>16.34</v>
      </c>
      <c r="Y48" s="111">
        <f t="shared" si="70"/>
        <v>539.20000000000005</v>
      </c>
      <c r="Z48" s="111">
        <f t="shared" si="88"/>
        <v>671.6</v>
      </c>
      <c r="AA48" s="111">
        <f t="shared" si="88"/>
        <v>794.1</v>
      </c>
      <c r="AB48" s="111">
        <f t="shared" si="88"/>
        <v>720.6</v>
      </c>
      <c r="AC48" s="111">
        <f t="shared" si="88"/>
        <v>1063.7</v>
      </c>
      <c r="AD48" s="111">
        <f t="shared" si="88"/>
        <v>1470.6</v>
      </c>
      <c r="AE48" s="42">
        <f t="shared" si="89"/>
        <v>465.6</v>
      </c>
      <c r="AF48" s="125">
        <f>RCFs!C$13</f>
        <v>15.52</v>
      </c>
      <c r="AG48" s="110">
        <f t="shared" si="90"/>
        <v>768.2</v>
      </c>
      <c r="AH48" s="110">
        <f t="shared" si="90"/>
        <v>977.8</v>
      </c>
      <c r="AI48" s="110">
        <f t="shared" si="90"/>
        <v>1396.8</v>
      </c>
      <c r="AJ48" s="42">
        <f t="shared" si="74"/>
        <v>492.4</v>
      </c>
      <c r="AK48" s="125">
        <f>RCFs!C$25</f>
        <v>16.413333333333334</v>
      </c>
      <c r="AL48" s="42">
        <f t="shared" si="75"/>
        <v>662.3</v>
      </c>
      <c r="AM48" s="125">
        <f>RCFs!C$29</f>
        <v>22.076666666666664</v>
      </c>
      <c r="AN48" s="42">
        <f t="shared" si="76"/>
        <v>528.9</v>
      </c>
      <c r="AO48" s="125">
        <f>RCFs!C$33</f>
        <v>17.632999999999999</v>
      </c>
      <c r="AP48" s="110">
        <f t="shared" si="77"/>
        <v>793.3</v>
      </c>
      <c r="AQ48" s="124">
        <f t="shared" si="78"/>
        <v>522.9</v>
      </c>
      <c r="AR48" s="125">
        <f>RCFs!C$35</f>
        <v>17.43</v>
      </c>
      <c r="AS48" s="110">
        <f t="shared" si="79"/>
        <v>679.7</v>
      </c>
      <c r="AT48" s="110">
        <f t="shared" si="80"/>
        <v>25.2</v>
      </c>
      <c r="AU48" s="124">
        <f t="shared" si="81"/>
        <v>512.70000000000005</v>
      </c>
      <c r="AV48" s="124">
        <f>RCFs!C$37</f>
        <v>17.09</v>
      </c>
      <c r="AW48" s="124">
        <f t="shared" si="91"/>
        <v>513.70000000000005</v>
      </c>
      <c r="AX48" s="125">
        <f>RCFs!C$64</f>
        <v>17.125999999999998</v>
      </c>
      <c r="AY48" s="124">
        <f t="shared" si="82"/>
        <v>523.5</v>
      </c>
      <c r="AZ48" s="125">
        <f>RCFs!C$39</f>
        <v>17.45</v>
      </c>
      <c r="BA48" s="124">
        <f t="shared" si="83"/>
        <v>500.3</v>
      </c>
      <c r="BB48" s="125">
        <f>RCFs!C$41</f>
        <v>16.678999999999998</v>
      </c>
    </row>
    <row r="49" spans="1:54" s="67" customFormat="1" ht="38.25" x14ac:dyDescent="0.2">
      <c r="A49" s="128" t="s">
        <v>38</v>
      </c>
      <c r="B49" s="129" t="s">
        <v>43</v>
      </c>
      <c r="C49" s="130">
        <v>137</v>
      </c>
      <c r="D49" s="42">
        <f t="shared" si="84"/>
        <v>8765.7000000000007</v>
      </c>
      <c r="E49" s="123">
        <f>RCFs!C$43</f>
        <v>63.983120993999997</v>
      </c>
      <c r="F49" s="124">
        <f t="shared" si="63"/>
        <v>2288.9</v>
      </c>
      <c r="G49" s="123">
        <f>RCFs!C$5</f>
        <v>16.707999999999998</v>
      </c>
      <c r="H49" s="124">
        <f t="shared" si="64"/>
        <v>2288.9</v>
      </c>
      <c r="I49" s="123">
        <f>RCFs!C$5</f>
        <v>16.707999999999998</v>
      </c>
      <c r="J49" s="111">
        <f t="shared" si="85"/>
        <v>2517.9</v>
      </c>
      <c r="K49" s="111">
        <f t="shared" si="85"/>
        <v>3135.9</v>
      </c>
      <c r="L49" s="111">
        <f t="shared" si="85"/>
        <v>3364.8</v>
      </c>
      <c r="M49" s="111">
        <f t="shared" si="85"/>
        <v>3708.2</v>
      </c>
      <c r="N49" s="111">
        <f t="shared" si="85"/>
        <v>4578</v>
      </c>
      <c r="O49" s="111">
        <f t="shared" si="85"/>
        <v>4921.3</v>
      </c>
      <c r="P49" s="111">
        <f t="shared" si="85"/>
        <v>6867</v>
      </c>
      <c r="Q49" s="42">
        <f t="shared" si="66"/>
        <v>2253.6</v>
      </c>
      <c r="R49" s="125">
        <f>RCFs!C$7</f>
        <v>16.45</v>
      </c>
      <c r="S49" s="111">
        <f t="shared" si="86"/>
        <v>2929.6</v>
      </c>
      <c r="T49" s="111">
        <f t="shared" si="86"/>
        <v>3380.4</v>
      </c>
      <c r="U49" s="42">
        <f t="shared" si="68"/>
        <v>2101.1</v>
      </c>
      <c r="V49" s="125">
        <f>RCFs!$S$54</f>
        <v>15.336666666666668</v>
      </c>
      <c r="W49" s="42">
        <f t="shared" si="87"/>
        <v>2238.6</v>
      </c>
      <c r="X49" s="125">
        <f>RCFs!$S$56</f>
        <v>16.34</v>
      </c>
      <c r="Y49" s="111">
        <f t="shared" si="70"/>
        <v>2462.4</v>
      </c>
      <c r="Z49" s="111">
        <f t="shared" si="88"/>
        <v>3066.9</v>
      </c>
      <c r="AA49" s="111">
        <f t="shared" si="88"/>
        <v>3626.5</v>
      </c>
      <c r="AB49" s="111">
        <f t="shared" si="88"/>
        <v>3290.7</v>
      </c>
      <c r="AC49" s="111">
        <f t="shared" si="88"/>
        <v>4857.7</v>
      </c>
      <c r="AD49" s="111">
        <f t="shared" si="88"/>
        <v>6715.7</v>
      </c>
      <c r="AE49" s="42">
        <f t="shared" si="89"/>
        <v>2126.1999999999998</v>
      </c>
      <c r="AF49" s="125">
        <f>RCFs!C$13</f>
        <v>15.52</v>
      </c>
      <c r="AG49" s="110">
        <f t="shared" si="90"/>
        <v>3508.2</v>
      </c>
      <c r="AH49" s="110">
        <f t="shared" si="90"/>
        <v>4465</v>
      </c>
      <c r="AI49" s="110">
        <f t="shared" si="90"/>
        <v>6378.6</v>
      </c>
      <c r="AJ49" s="42">
        <f t="shared" si="74"/>
        <v>2248.6</v>
      </c>
      <c r="AK49" s="125">
        <f>RCFs!C$25</f>
        <v>16.413333333333334</v>
      </c>
      <c r="AL49" s="42">
        <f t="shared" si="75"/>
        <v>3024.5</v>
      </c>
      <c r="AM49" s="125">
        <f>RCFs!C$29</f>
        <v>22.076666666666664</v>
      </c>
      <c r="AN49" s="42">
        <f t="shared" si="76"/>
        <v>2415.6999999999998</v>
      </c>
      <c r="AO49" s="125">
        <f>RCFs!C$33</f>
        <v>17.632999999999999</v>
      </c>
      <c r="AP49" s="110">
        <f t="shared" si="77"/>
        <v>3623.5</v>
      </c>
      <c r="AQ49" s="124">
        <f t="shared" si="78"/>
        <v>2387.9</v>
      </c>
      <c r="AR49" s="125">
        <f>RCFs!C$35</f>
        <v>17.43</v>
      </c>
      <c r="AS49" s="110">
        <f t="shared" si="79"/>
        <v>3104.2</v>
      </c>
      <c r="AT49" s="110">
        <f t="shared" si="80"/>
        <v>25.2</v>
      </c>
      <c r="AU49" s="124">
        <f t="shared" si="81"/>
        <v>2341.3000000000002</v>
      </c>
      <c r="AV49" s="124">
        <f>RCFs!C$37</f>
        <v>17.09</v>
      </c>
      <c r="AW49" s="124">
        <f t="shared" si="91"/>
        <v>2346.1999999999998</v>
      </c>
      <c r="AX49" s="125">
        <f>RCFs!C$64</f>
        <v>17.125999999999998</v>
      </c>
      <c r="AY49" s="124">
        <f t="shared" si="82"/>
        <v>2390.6</v>
      </c>
      <c r="AZ49" s="125">
        <f>RCFs!C$39</f>
        <v>17.45</v>
      </c>
      <c r="BA49" s="124">
        <f t="shared" si="83"/>
        <v>2285</v>
      </c>
      <c r="BB49" s="125">
        <f>RCFs!C$41</f>
        <v>16.678999999999998</v>
      </c>
    </row>
    <row r="50" spans="1:54" s="67" customFormat="1" ht="38.25" x14ac:dyDescent="0.2">
      <c r="A50" s="128" t="s">
        <v>118</v>
      </c>
      <c r="B50" s="129" t="s">
        <v>120</v>
      </c>
      <c r="C50" s="130">
        <v>58</v>
      </c>
      <c r="D50" s="42">
        <f t="shared" si="84"/>
        <v>3711</v>
      </c>
      <c r="E50" s="123">
        <f>RCFs!C$43</f>
        <v>63.983120993999997</v>
      </c>
      <c r="F50" s="124">
        <f t="shared" si="63"/>
        <v>969</v>
      </c>
      <c r="G50" s="123">
        <f>RCFs!C$5</f>
        <v>16.707999999999998</v>
      </c>
      <c r="H50" s="124">
        <f t="shared" si="64"/>
        <v>969</v>
      </c>
      <c r="I50" s="123">
        <f>RCFs!C$5</f>
        <v>16.707999999999998</v>
      </c>
      <c r="J50" s="111">
        <f t="shared" si="85"/>
        <v>1066</v>
      </c>
      <c r="K50" s="111">
        <f t="shared" si="85"/>
        <v>1327.6</v>
      </c>
      <c r="L50" s="111">
        <f t="shared" si="85"/>
        <v>1424.5</v>
      </c>
      <c r="M50" s="111">
        <f t="shared" si="85"/>
        <v>1569.9</v>
      </c>
      <c r="N50" s="111">
        <f t="shared" si="85"/>
        <v>1938.1</v>
      </c>
      <c r="O50" s="111">
        <f t="shared" si="85"/>
        <v>2083.5</v>
      </c>
      <c r="P50" s="111">
        <f t="shared" si="85"/>
        <v>2907.2</v>
      </c>
      <c r="Q50" s="42">
        <f t="shared" si="66"/>
        <v>954.1</v>
      </c>
      <c r="R50" s="125">
        <f>RCFs!C$7</f>
        <v>16.45</v>
      </c>
      <c r="S50" s="111">
        <f t="shared" si="86"/>
        <v>1240.3</v>
      </c>
      <c r="T50" s="111">
        <f t="shared" si="86"/>
        <v>1431.1</v>
      </c>
      <c r="U50" s="42">
        <f t="shared" si="68"/>
        <v>889.5</v>
      </c>
      <c r="V50" s="125">
        <f>RCFs!$S$54</f>
        <v>15.336666666666668</v>
      </c>
      <c r="W50" s="42">
        <f t="shared" si="87"/>
        <v>947.7</v>
      </c>
      <c r="X50" s="125">
        <f>RCFs!$S$56</f>
        <v>16.34</v>
      </c>
      <c r="Y50" s="111">
        <f t="shared" si="70"/>
        <v>1042.4000000000001</v>
      </c>
      <c r="Z50" s="111">
        <f t="shared" si="88"/>
        <v>1298.4000000000001</v>
      </c>
      <c r="AA50" s="111">
        <f t="shared" si="88"/>
        <v>1535.3</v>
      </c>
      <c r="AB50" s="111">
        <f t="shared" si="88"/>
        <v>1393.1</v>
      </c>
      <c r="AC50" s="111">
        <f t="shared" si="88"/>
        <v>2056.6</v>
      </c>
      <c r="AD50" s="111">
        <f t="shared" si="88"/>
        <v>2843.2</v>
      </c>
      <c r="AE50" s="42">
        <f t="shared" si="89"/>
        <v>900.2</v>
      </c>
      <c r="AF50" s="125">
        <f>RCFs!C$13</f>
        <v>15.52</v>
      </c>
      <c r="AG50" s="110">
        <f t="shared" si="90"/>
        <v>1485.3</v>
      </c>
      <c r="AH50" s="110">
        <f t="shared" si="90"/>
        <v>1890.4</v>
      </c>
      <c r="AI50" s="110">
        <f t="shared" si="90"/>
        <v>2700.6</v>
      </c>
      <c r="AJ50" s="42">
        <f t="shared" si="74"/>
        <v>951.9</v>
      </c>
      <c r="AK50" s="125">
        <f>RCFs!C$25</f>
        <v>16.413333333333334</v>
      </c>
      <c r="AL50" s="42">
        <f t="shared" si="75"/>
        <v>1280.4000000000001</v>
      </c>
      <c r="AM50" s="125">
        <f>RCFs!C$29</f>
        <v>22.076666666666664</v>
      </c>
      <c r="AN50" s="42">
        <f t="shared" si="76"/>
        <v>1022.7</v>
      </c>
      <c r="AO50" s="125">
        <f>RCFs!C$33</f>
        <v>17.632999999999999</v>
      </c>
      <c r="AP50" s="110">
        <f t="shared" si="77"/>
        <v>1534</v>
      </c>
      <c r="AQ50" s="124">
        <f t="shared" si="78"/>
        <v>1010.9</v>
      </c>
      <c r="AR50" s="125">
        <f>RCFs!C$35</f>
        <v>17.43</v>
      </c>
      <c r="AS50" s="110">
        <f t="shared" si="79"/>
        <v>1314.1</v>
      </c>
      <c r="AT50" s="110">
        <f t="shared" si="80"/>
        <v>25.2</v>
      </c>
      <c r="AU50" s="124">
        <f t="shared" si="81"/>
        <v>991.2</v>
      </c>
      <c r="AV50" s="124">
        <f>RCFs!C$37</f>
        <v>17.09</v>
      </c>
      <c r="AW50" s="124">
        <f t="shared" si="91"/>
        <v>993.3</v>
      </c>
      <c r="AX50" s="125">
        <f>RCFs!C$64</f>
        <v>17.125999999999998</v>
      </c>
      <c r="AY50" s="124">
        <f t="shared" si="82"/>
        <v>1012.1</v>
      </c>
      <c r="AZ50" s="125">
        <f>RCFs!C$39</f>
        <v>17.45</v>
      </c>
      <c r="BA50" s="124">
        <f t="shared" si="83"/>
        <v>967.3</v>
      </c>
      <c r="BB50" s="125">
        <f>RCFs!C$41</f>
        <v>16.678999999999998</v>
      </c>
    </row>
    <row r="51" spans="1:54" s="67" customFormat="1" ht="38.25" x14ac:dyDescent="0.2">
      <c r="A51" s="66" t="s">
        <v>29</v>
      </c>
      <c r="B51" s="68" t="s">
        <v>44</v>
      </c>
      <c r="C51" s="46">
        <v>50</v>
      </c>
      <c r="D51" s="42">
        <f t="shared" si="84"/>
        <v>3199.2</v>
      </c>
      <c r="E51" s="123">
        <f>RCFs!C$43</f>
        <v>63.983120993999997</v>
      </c>
      <c r="F51" s="124">
        <f t="shared" si="63"/>
        <v>835.4</v>
      </c>
      <c r="G51" s="123">
        <f>RCFs!C$5</f>
        <v>16.707999999999998</v>
      </c>
      <c r="H51" s="124">
        <f t="shared" si="64"/>
        <v>835.4</v>
      </c>
      <c r="I51" s="123">
        <f>RCFs!C$5</f>
        <v>16.707999999999998</v>
      </c>
      <c r="J51" s="111">
        <f t="shared" ref="J51:P60" si="92">ROUND($C51*$I51*J$6,1)</f>
        <v>918.9</v>
      </c>
      <c r="K51" s="111">
        <f t="shared" si="92"/>
        <v>1144.5</v>
      </c>
      <c r="L51" s="111">
        <f t="shared" si="92"/>
        <v>1228</v>
      </c>
      <c r="M51" s="111">
        <f t="shared" si="92"/>
        <v>1353.3</v>
      </c>
      <c r="N51" s="111">
        <f t="shared" si="92"/>
        <v>1670.8</v>
      </c>
      <c r="O51" s="111">
        <f t="shared" si="92"/>
        <v>1796.1</v>
      </c>
      <c r="P51" s="111">
        <f t="shared" si="92"/>
        <v>2506.1999999999998</v>
      </c>
      <c r="Q51" s="42">
        <f t="shared" si="66"/>
        <v>822.5</v>
      </c>
      <c r="R51" s="125">
        <f>RCFs!C$7</f>
        <v>16.45</v>
      </c>
      <c r="S51" s="111">
        <f t="shared" si="86"/>
        <v>1069.2</v>
      </c>
      <c r="T51" s="111">
        <f t="shared" si="86"/>
        <v>1233.7</v>
      </c>
      <c r="U51" s="42">
        <f t="shared" si="68"/>
        <v>766.8</v>
      </c>
      <c r="V51" s="125">
        <f>RCFs!$S$54</f>
        <v>15.336666666666668</v>
      </c>
      <c r="W51" s="42">
        <f t="shared" si="87"/>
        <v>817</v>
      </c>
      <c r="X51" s="125">
        <f>RCFs!$S$56</f>
        <v>16.34</v>
      </c>
      <c r="Y51" s="111">
        <f t="shared" si="70"/>
        <v>898.7</v>
      </c>
      <c r="Z51" s="111">
        <f t="shared" ref="Z51:AD60" si="93">ROUND($C51*$X51*Z$6,1)</f>
        <v>1119.3</v>
      </c>
      <c r="AA51" s="111">
        <f t="shared" si="93"/>
        <v>1323.5</v>
      </c>
      <c r="AB51" s="111">
        <f t="shared" si="93"/>
        <v>1201</v>
      </c>
      <c r="AC51" s="111">
        <f t="shared" si="93"/>
        <v>1772.9</v>
      </c>
      <c r="AD51" s="111">
        <f t="shared" si="93"/>
        <v>2451</v>
      </c>
      <c r="AE51" s="42">
        <f t="shared" si="89"/>
        <v>776</v>
      </c>
      <c r="AF51" s="125">
        <f>RCFs!C$13</f>
        <v>15.52</v>
      </c>
      <c r="AG51" s="110">
        <f t="shared" si="90"/>
        <v>1280.4000000000001</v>
      </c>
      <c r="AH51" s="110">
        <f t="shared" si="90"/>
        <v>1629.6</v>
      </c>
      <c r="AI51" s="110">
        <f t="shared" si="90"/>
        <v>2328</v>
      </c>
      <c r="AJ51" s="42">
        <f t="shared" si="74"/>
        <v>820.6</v>
      </c>
      <c r="AK51" s="125">
        <f>RCFs!C$25</f>
        <v>16.413333333333334</v>
      </c>
      <c r="AL51" s="42">
        <f t="shared" si="75"/>
        <v>1103.8</v>
      </c>
      <c r="AM51" s="125">
        <f>RCFs!C$29</f>
        <v>22.076666666666664</v>
      </c>
      <c r="AN51" s="42">
        <f t="shared" si="76"/>
        <v>881.6</v>
      </c>
      <c r="AO51" s="125">
        <f>RCFs!C$33</f>
        <v>17.632999999999999</v>
      </c>
      <c r="AP51" s="110">
        <f t="shared" si="77"/>
        <v>1322.4</v>
      </c>
      <c r="AQ51" s="124">
        <f t="shared" si="78"/>
        <v>871.5</v>
      </c>
      <c r="AR51" s="125">
        <f>RCFs!C$35</f>
        <v>17.43</v>
      </c>
      <c r="AS51" s="110">
        <f t="shared" si="79"/>
        <v>1132.9000000000001</v>
      </c>
      <c r="AT51" s="110">
        <f t="shared" si="80"/>
        <v>25.2</v>
      </c>
      <c r="AU51" s="124">
        <f t="shared" si="81"/>
        <v>854.5</v>
      </c>
      <c r="AV51" s="124">
        <f>RCFs!C$37</f>
        <v>17.09</v>
      </c>
      <c r="AW51" s="124">
        <f t="shared" si="91"/>
        <v>856.3</v>
      </c>
      <c r="AX51" s="125">
        <f>RCFs!C$64</f>
        <v>17.125999999999998</v>
      </c>
      <c r="AY51" s="124">
        <f t="shared" si="82"/>
        <v>872.5</v>
      </c>
      <c r="AZ51" s="125">
        <f>RCFs!C$39</f>
        <v>17.45</v>
      </c>
      <c r="BA51" s="124">
        <f t="shared" si="83"/>
        <v>833.9</v>
      </c>
      <c r="BB51" s="125">
        <f>RCFs!C$41</f>
        <v>16.678999999999998</v>
      </c>
    </row>
    <row r="52" spans="1:54" s="67" customFormat="1" x14ac:dyDescent="0.2">
      <c r="A52" s="66">
        <v>1212</v>
      </c>
      <c r="B52" s="68" t="s">
        <v>183</v>
      </c>
      <c r="C52" s="46">
        <v>75</v>
      </c>
      <c r="D52" s="42">
        <f t="shared" si="84"/>
        <v>4798.7</v>
      </c>
      <c r="E52" s="123">
        <f>RCFs!C$43</f>
        <v>63.983120993999997</v>
      </c>
      <c r="F52" s="124">
        <f t="shared" si="63"/>
        <v>1253.0999999999999</v>
      </c>
      <c r="G52" s="123">
        <f>RCFs!C$5</f>
        <v>16.707999999999998</v>
      </c>
      <c r="H52" s="124">
        <f t="shared" si="64"/>
        <v>1253.0999999999999</v>
      </c>
      <c r="I52" s="123">
        <f>RCFs!C$5</f>
        <v>16.707999999999998</v>
      </c>
      <c r="J52" s="111">
        <f t="shared" si="92"/>
        <v>1378.4</v>
      </c>
      <c r="K52" s="111">
        <f t="shared" si="92"/>
        <v>1716.7</v>
      </c>
      <c r="L52" s="111">
        <f t="shared" si="92"/>
        <v>1842.1</v>
      </c>
      <c r="M52" s="111">
        <f t="shared" si="92"/>
        <v>2030</v>
      </c>
      <c r="N52" s="111">
        <f t="shared" si="92"/>
        <v>2506.1999999999998</v>
      </c>
      <c r="O52" s="111">
        <f t="shared" si="92"/>
        <v>2694.2</v>
      </c>
      <c r="P52" s="111">
        <f t="shared" si="92"/>
        <v>3759.3</v>
      </c>
      <c r="Q52" s="42">
        <f t="shared" si="66"/>
        <v>1233.7</v>
      </c>
      <c r="R52" s="125">
        <f>RCFs!C$7</f>
        <v>16.45</v>
      </c>
      <c r="S52" s="111">
        <f t="shared" si="86"/>
        <v>1603.8</v>
      </c>
      <c r="T52" s="111">
        <f t="shared" si="86"/>
        <v>1850.5</v>
      </c>
      <c r="U52" s="42">
        <f t="shared" si="68"/>
        <v>1214.4000000000001</v>
      </c>
      <c r="V52" s="125">
        <f>RCFs!C$9</f>
        <v>16.192</v>
      </c>
      <c r="W52" s="42">
        <f t="shared" si="87"/>
        <v>1214.4000000000001</v>
      </c>
      <c r="X52" s="125">
        <f t="shared" ref="X52:X87" si="94">V52</f>
        <v>16.192</v>
      </c>
      <c r="Y52" s="111">
        <f t="shared" si="70"/>
        <v>1335.8</v>
      </c>
      <c r="Z52" s="111">
        <f t="shared" si="93"/>
        <v>1663.7</v>
      </c>
      <c r="AA52" s="111">
        <f t="shared" si="93"/>
        <v>1967.3</v>
      </c>
      <c r="AB52" s="111">
        <f t="shared" si="93"/>
        <v>1785.2</v>
      </c>
      <c r="AC52" s="111">
        <f t="shared" si="93"/>
        <v>2635.2</v>
      </c>
      <c r="AD52" s="111">
        <f t="shared" si="93"/>
        <v>3643.2</v>
      </c>
      <c r="AE52" s="42">
        <f t="shared" si="89"/>
        <v>1164</v>
      </c>
      <c r="AF52" s="125">
        <f>RCFs!C$13</f>
        <v>15.52</v>
      </c>
      <c r="AG52" s="110">
        <f t="shared" si="90"/>
        <v>1920.6</v>
      </c>
      <c r="AH52" s="110">
        <f t="shared" si="90"/>
        <v>2444.4</v>
      </c>
      <c r="AI52" s="110">
        <f t="shared" si="90"/>
        <v>3492</v>
      </c>
      <c r="AJ52" s="42">
        <f t="shared" si="74"/>
        <v>1231</v>
      </c>
      <c r="AK52" s="125">
        <f>RCFs!C$25</f>
        <v>16.413333333333334</v>
      </c>
      <c r="AL52" s="42">
        <f t="shared" si="75"/>
        <v>1655.7</v>
      </c>
      <c r="AM52" s="125">
        <f>RCFs!C$29</f>
        <v>22.076666666666664</v>
      </c>
      <c r="AN52" s="42">
        <f t="shared" si="76"/>
        <v>1322.4</v>
      </c>
      <c r="AO52" s="125">
        <f>RCFs!C$33</f>
        <v>17.632999999999999</v>
      </c>
      <c r="AP52" s="110">
        <f t="shared" si="77"/>
        <v>1983.6</v>
      </c>
      <c r="AQ52" s="124">
        <f t="shared" si="78"/>
        <v>1307.2</v>
      </c>
      <c r="AR52" s="125">
        <f>RCFs!C$35</f>
        <v>17.43</v>
      </c>
      <c r="AS52" s="110">
        <f t="shared" si="79"/>
        <v>1699.3</v>
      </c>
      <c r="AT52" s="110">
        <f t="shared" si="80"/>
        <v>25.2</v>
      </c>
      <c r="AU52" s="124">
        <f t="shared" si="81"/>
        <v>1281.7</v>
      </c>
      <c r="AV52" s="124">
        <f>RCFs!C$37</f>
        <v>17.09</v>
      </c>
      <c r="AW52" s="124">
        <f t="shared" si="91"/>
        <v>1284.4000000000001</v>
      </c>
      <c r="AX52" s="125">
        <f>RCFs!C$64</f>
        <v>17.125999999999998</v>
      </c>
      <c r="AY52" s="124">
        <f t="shared" si="82"/>
        <v>1308.7</v>
      </c>
      <c r="AZ52" s="125">
        <f>RCFs!C$39</f>
        <v>17.45</v>
      </c>
      <c r="BA52" s="124">
        <f t="shared" si="83"/>
        <v>1250.9000000000001</v>
      </c>
      <c r="BB52" s="125">
        <f>RCFs!C$41</f>
        <v>16.678999999999998</v>
      </c>
    </row>
    <row r="53" spans="1:54" s="67" customFormat="1" x14ac:dyDescent="0.2">
      <c r="A53" s="66" t="s">
        <v>33</v>
      </c>
      <c r="B53" s="68" t="s">
        <v>45</v>
      </c>
      <c r="C53" s="46">
        <v>50</v>
      </c>
      <c r="D53" s="42">
        <f t="shared" si="84"/>
        <v>3199.2</v>
      </c>
      <c r="E53" s="123">
        <f>RCFs!C$43</f>
        <v>63.983120993999997</v>
      </c>
      <c r="F53" s="124">
        <f t="shared" si="63"/>
        <v>835.4</v>
      </c>
      <c r="G53" s="123">
        <f>RCFs!C$5</f>
        <v>16.707999999999998</v>
      </c>
      <c r="H53" s="124">
        <f t="shared" si="64"/>
        <v>835.4</v>
      </c>
      <c r="I53" s="123">
        <f>RCFs!C$5</f>
        <v>16.707999999999998</v>
      </c>
      <c r="J53" s="111">
        <f t="shared" si="92"/>
        <v>918.9</v>
      </c>
      <c r="K53" s="111">
        <f t="shared" si="92"/>
        <v>1144.5</v>
      </c>
      <c r="L53" s="111">
        <f t="shared" si="92"/>
        <v>1228</v>
      </c>
      <c r="M53" s="111">
        <f t="shared" si="92"/>
        <v>1353.3</v>
      </c>
      <c r="N53" s="111">
        <f t="shared" si="92"/>
        <v>1670.8</v>
      </c>
      <c r="O53" s="111">
        <f t="shared" si="92"/>
        <v>1796.1</v>
      </c>
      <c r="P53" s="111">
        <f t="shared" si="92"/>
        <v>2506.1999999999998</v>
      </c>
      <c r="Q53" s="42">
        <f t="shared" si="66"/>
        <v>822.5</v>
      </c>
      <c r="R53" s="125">
        <f>RCFs!C$7</f>
        <v>16.45</v>
      </c>
      <c r="S53" s="111">
        <f t="shared" si="86"/>
        <v>1069.2</v>
      </c>
      <c r="T53" s="111">
        <f t="shared" si="86"/>
        <v>1233.7</v>
      </c>
      <c r="U53" s="42">
        <f t="shared" si="68"/>
        <v>809.6</v>
      </c>
      <c r="V53" s="125">
        <f>RCFs!C$9</f>
        <v>16.192</v>
      </c>
      <c r="W53" s="42">
        <f t="shared" si="87"/>
        <v>809.6</v>
      </c>
      <c r="X53" s="125">
        <f t="shared" si="94"/>
        <v>16.192</v>
      </c>
      <c r="Y53" s="111">
        <f t="shared" si="70"/>
        <v>890.5</v>
      </c>
      <c r="Z53" s="111">
        <f t="shared" si="93"/>
        <v>1109.2</v>
      </c>
      <c r="AA53" s="111">
        <f t="shared" si="93"/>
        <v>1311.6</v>
      </c>
      <c r="AB53" s="111">
        <f t="shared" si="93"/>
        <v>1190.0999999999999</v>
      </c>
      <c r="AC53" s="111">
        <f t="shared" si="93"/>
        <v>1756.8</v>
      </c>
      <c r="AD53" s="111">
        <f t="shared" si="93"/>
        <v>2428.8000000000002</v>
      </c>
      <c r="AE53" s="42">
        <f t="shared" si="89"/>
        <v>776</v>
      </c>
      <c r="AF53" s="125">
        <f>RCFs!C$13</f>
        <v>15.52</v>
      </c>
      <c r="AG53" s="110">
        <f t="shared" si="90"/>
        <v>1280.4000000000001</v>
      </c>
      <c r="AH53" s="110">
        <f t="shared" si="90"/>
        <v>1629.6</v>
      </c>
      <c r="AI53" s="110">
        <f t="shared" si="90"/>
        <v>2328</v>
      </c>
      <c r="AJ53" s="42">
        <f t="shared" si="74"/>
        <v>820.6</v>
      </c>
      <c r="AK53" s="125">
        <f>RCFs!C$25</f>
        <v>16.413333333333334</v>
      </c>
      <c r="AL53" s="42">
        <f t="shared" si="75"/>
        <v>1103.8</v>
      </c>
      <c r="AM53" s="125">
        <f>RCFs!C$29</f>
        <v>22.076666666666664</v>
      </c>
      <c r="AN53" s="42">
        <f t="shared" si="76"/>
        <v>881.6</v>
      </c>
      <c r="AO53" s="125">
        <f>RCFs!C$33</f>
        <v>17.632999999999999</v>
      </c>
      <c r="AP53" s="110">
        <f t="shared" si="77"/>
        <v>1322.4</v>
      </c>
      <c r="AQ53" s="124">
        <f t="shared" si="78"/>
        <v>871.5</v>
      </c>
      <c r="AR53" s="125">
        <f>RCFs!C$35</f>
        <v>17.43</v>
      </c>
      <c r="AS53" s="110">
        <f t="shared" si="79"/>
        <v>1132.9000000000001</v>
      </c>
      <c r="AT53" s="110">
        <f t="shared" si="80"/>
        <v>25.2</v>
      </c>
      <c r="AU53" s="124">
        <f t="shared" si="81"/>
        <v>854.5</v>
      </c>
      <c r="AV53" s="124">
        <f>RCFs!C$37</f>
        <v>17.09</v>
      </c>
      <c r="AW53" s="124">
        <f t="shared" si="91"/>
        <v>856.3</v>
      </c>
      <c r="AX53" s="125">
        <f>RCFs!C$64</f>
        <v>17.125999999999998</v>
      </c>
      <c r="AY53" s="124">
        <f t="shared" si="82"/>
        <v>872.5</v>
      </c>
      <c r="AZ53" s="125">
        <f>RCFs!C$39</f>
        <v>17.45</v>
      </c>
      <c r="BA53" s="124">
        <f t="shared" si="83"/>
        <v>833.9</v>
      </c>
      <c r="BB53" s="125">
        <f>RCFs!C$41</f>
        <v>16.678999999999998</v>
      </c>
    </row>
    <row r="54" spans="1:54" s="67" customFormat="1" x14ac:dyDescent="0.2">
      <c r="A54" s="66">
        <v>1214</v>
      </c>
      <c r="B54" s="68" t="s">
        <v>184</v>
      </c>
      <c r="C54" s="46">
        <v>25</v>
      </c>
      <c r="D54" s="42">
        <f t="shared" si="84"/>
        <v>1599.6</v>
      </c>
      <c r="E54" s="123">
        <f>RCFs!C$43</f>
        <v>63.983120993999997</v>
      </c>
      <c r="F54" s="124">
        <f t="shared" si="63"/>
        <v>417.7</v>
      </c>
      <c r="G54" s="123">
        <f>RCFs!C$5</f>
        <v>16.707999999999998</v>
      </c>
      <c r="H54" s="124">
        <f t="shared" si="64"/>
        <v>417.7</v>
      </c>
      <c r="I54" s="123">
        <f>RCFs!C$5</f>
        <v>16.707999999999998</v>
      </c>
      <c r="J54" s="111">
        <f t="shared" si="92"/>
        <v>459.5</v>
      </c>
      <c r="K54" s="111">
        <f t="shared" si="92"/>
        <v>572.20000000000005</v>
      </c>
      <c r="L54" s="111">
        <f t="shared" si="92"/>
        <v>614</v>
      </c>
      <c r="M54" s="111">
        <f t="shared" si="92"/>
        <v>676.7</v>
      </c>
      <c r="N54" s="111">
        <f t="shared" si="92"/>
        <v>835.4</v>
      </c>
      <c r="O54" s="111">
        <f t="shared" si="92"/>
        <v>898.1</v>
      </c>
      <c r="P54" s="111">
        <f t="shared" si="92"/>
        <v>1253.0999999999999</v>
      </c>
      <c r="Q54" s="42">
        <f t="shared" si="66"/>
        <v>411.2</v>
      </c>
      <c r="R54" s="125">
        <f>RCFs!C$7</f>
        <v>16.45</v>
      </c>
      <c r="S54" s="111">
        <f t="shared" si="86"/>
        <v>534.5</v>
      </c>
      <c r="T54" s="111">
        <f t="shared" si="86"/>
        <v>616.79999999999995</v>
      </c>
      <c r="U54" s="42">
        <f t="shared" si="68"/>
        <v>404.8</v>
      </c>
      <c r="V54" s="125">
        <f>RCFs!C$9</f>
        <v>16.192</v>
      </c>
      <c r="W54" s="42">
        <f t="shared" si="87"/>
        <v>404.8</v>
      </c>
      <c r="X54" s="125">
        <f t="shared" si="94"/>
        <v>16.192</v>
      </c>
      <c r="Y54" s="111">
        <f t="shared" si="70"/>
        <v>445.2</v>
      </c>
      <c r="Z54" s="111">
        <f t="shared" si="93"/>
        <v>554.6</v>
      </c>
      <c r="AA54" s="111">
        <f t="shared" si="93"/>
        <v>655.8</v>
      </c>
      <c r="AB54" s="111">
        <f t="shared" si="93"/>
        <v>595.1</v>
      </c>
      <c r="AC54" s="111">
        <f t="shared" si="93"/>
        <v>878.4</v>
      </c>
      <c r="AD54" s="111">
        <f t="shared" si="93"/>
        <v>1214.4000000000001</v>
      </c>
      <c r="AE54" s="42">
        <f t="shared" si="89"/>
        <v>388</v>
      </c>
      <c r="AF54" s="125">
        <f>RCFs!C$13</f>
        <v>15.52</v>
      </c>
      <c r="AG54" s="110">
        <f t="shared" si="90"/>
        <v>640.20000000000005</v>
      </c>
      <c r="AH54" s="110">
        <f t="shared" si="90"/>
        <v>814.8</v>
      </c>
      <c r="AI54" s="110">
        <f t="shared" si="90"/>
        <v>1164</v>
      </c>
      <c r="AJ54" s="42">
        <f t="shared" si="74"/>
        <v>410.3</v>
      </c>
      <c r="AK54" s="125">
        <f>RCFs!C$25</f>
        <v>16.413333333333334</v>
      </c>
      <c r="AL54" s="42">
        <f t="shared" si="75"/>
        <v>551.9</v>
      </c>
      <c r="AM54" s="125">
        <f>RCFs!C$29</f>
        <v>22.076666666666664</v>
      </c>
      <c r="AN54" s="42">
        <f t="shared" si="76"/>
        <v>440.8</v>
      </c>
      <c r="AO54" s="125">
        <f>RCFs!C$33</f>
        <v>17.632999999999999</v>
      </c>
      <c r="AP54" s="110">
        <f t="shared" si="77"/>
        <v>661.2</v>
      </c>
      <c r="AQ54" s="124">
        <f t="shared" si="78"/>
        <v>435.7</v>
      </c>
      <c r="AR54" s="125">
        <f>RCFs!C$35</f>
        <v>17.43</v>
      </c>
      <c r="AS54" s="110">
        <f t="shared" si="79"/>
        <v>566.4</v>
      </c>
      <c r="AT54" s="110">
        <f t="shared" si="80"/>
        <v>25.2</v>
      </c>
      <c r="AU54" s="124">
        <f t="shared" si="81"/>
        <v>427.2</v>
      </c>
      <c r="AV54" s="124">
        <f>RCFs!C$37</f>
        <v>17.09</v>
      </c>
      <c r="AW54" s="124">
        <f t="shared" si="91"/>
        <v>428.1</v>
      </c>
      <c r="AX54" s="125">
        <f>RCFs!C$64</f>
        <v>17.125999999999998</v>
      </c>
      <c r="AY54" s="124">
        <f t="shared" si="82"/>
        <v>436.2</v>
      </c>
      <c r="AZ54" s="125">
        <f>RCFs!C$39</f>
        <v>17.45</v>
      </c>
      <c r="BA54" s="124">
        <f t="shared" si="83"/>
        <v>416.9</v>
      </c>
      <c r="BB54" s="125">
        <f>RCFs!C$41</f>
        <v>16.678999999999998</v>
      </c>
    </row>
    <row r="55" spans="1:54" s="67" customFormat="1" x14ac:dyDescent="0.2">
      <c r="A55" s="66">
        <v>1219</v>
      </c>
      <c r="B55" s="68" t="s">
        <v>185</v>
      </c>
      <c r="C55" s="46">
        <v>15</v>
      </c>
      <c r="D55" s="42">
        <f t="shared" si="84"/>
        <v>959.7</v>
      </c>
      <c r="E55" s="123">
        <f>RCFs!C$43</f>
        <v>63.983120993999997</v>
      </c>
      <c r="F55" s="124">
        <f t="shared" si="63"/>
        <v>250.6</v>
      </c>
      <c r="G55" s="123">
        <f>RCFs!C$5</f>
        <v>16.707999999999998</v>
      </c>
      <c r="H55" s="124">
        <f t="shared" si="64"/>
        <v>250.6</v>
      </c>
      <c r="I55" s="123">
        <f>RCFs!C$5</f>
        <v>16.707999999999998</v>
      </c>
      <c r="J55" s="111">
        <f t="shared" si="92"/>
        <v>275.7</v>
      </c>
      <c r="K55" s="111">
        <f t="shared" si="92"/>
        <v>343.3</v>
      </c>
      <c r="L55" s="111">
        <f t="shared" si="92"/>
        <v>368.4</v>
      </c>
      <c r="M55" s="111">
        <f t="shared" si="92"/>
        <v>406</v>
      </c>
      <c r="N55" s="111">
        <f t="shared" si="92"/>
        <v>501.2</v>
      </c>
      <c r="O55" s="111">
        <f t="shared" si="92"/>
        <v>538.79999999999995</v>
      </c>
      <c r="P55" s="111">
        <f t="shared" si="92"/>
        <v>751.9</v>
      </c>
      <c r="Q55" s="42">
        <f t="shared" si="66"/>
        <v>246.7</v>
      </c>
      <c r="R55" s="125">
        <f>RCFs!C$7</f>
        <v>16.45</v>
      </c>
      <c r="S55" s="111">
        <f t="shared" si="86"/>
        <v>320.7</v>
      </c>
      <c r="T55" s="111">
        <f t="shared" si="86"/>
        <v>370</v>
      </c>
      <c r="U55" s="42">
        <f t="shared" si="68"/>
        <v>242.9</v>
      </c>
      <c r="V55" s="125">
        <f>RCFs!C$9</f>
        <v>16.192</v>
      </c>
      <c r="W55" s="42">
        <f t="shared" si="87"/>
        <v>242.9</v>
      </c>
      <c r="X55" s="125">
        <f t="shared" si="94"/>
        <v>16.192</v>
      </c>
      <c r="Y55" s="111">
        <f t="shared" si="70"/>
        <v>267.10000000000002</v>
      </c>
      <c r="Z55" s="111">
        <f t="shared" si="93"/>
        <v>332.7</v>
      </c>
      <c r="AA55" s="111">
        <f t="shared" si="93"/>
        <v>393.5</v>
      </c>
      <c r="AB55" s="111">
        <f t="shared" si="93"/>
        <v>357</v>
      </c>
      <c r="AC55" s="111">
        <f t="shared" si="93"/>
        <v>527</v>
      </c>
      <c r="AD55" s="111">
        <f t="shared" si="93"/>
        <v>728.6</v>
      </c>
      <c r="AE55" s="42">
        <f t="shared" si="89"/>
        <v>232.8</v>
      </c>
      <c r="AF55" s="125">
        <f>RCFs!C$13</f>
        <v>15.52</v>
      </c>
      <c r="AG55" s="110">
        <f t="shared" si="90"/>
        <v>384.1</v>
      </c>
      <c r="AH55" s="110">
        <f t="shared" si="90"/>
        <v>488.9</v>
      </c>
      <c r="AI55" s="110">
        <f t="shared" si="90"/>
        <v>698.4</v>
      </c>
      <c r="AJ55" s="42">
        <f t="shared" si="74"/>
        <v>246.2</v>
      </c>
      <c r="AK55" s="125">
        <f>RCFs!C$25</f>
        <v>16.413333333333334</v>
      </c>
      <c r="AL55" s="42">
        <f t="shared" si="75"/>
        <v>331.1</v>
      </c>
      <c r="AM55" s="125">
        <f>RCFs!C$29</f>
        <v>22.076666666666664</v>
      </c>
      <c r="AN55" s="42">
        <f t="shared" si="76"/>
        <v>264.39999999999998</v>
      </c>
      <c r="AO55" s="125">
        <f>RCFs!C$33</f>
        <v>17.632999999999999</v>
      </c>
      <c r="AP55" s="110">
        <f t="shared" si="77"/>
        <v>396.6</v>
      </c>
      <c r="AQ55" s="124">
        <f t="shared" si="78"/>
        <v>261.39999999999998</v>
      </c>
      <c r="AR55" s="125">
        <f>RCFs!C$35</f>
        <v>17.43</v>
      </c>
      <c r="AS55" s="110">
        <f t="shared" si="79"/>
        <v>339.8</v>
      </c>
      <c r="AT55" s="110">
        <f t="shared" si="80"/>
        <v>25.2</v>
      </c>
      <c r="AU55" s="124">
        <f t="shared" si="81"/>
        <v>256.3</v>
      </c>
      <c r="AV55" s="124">
        <f>RCFs!C$37</f>
        <v>17.09</v>
      </c>
      <c r="AW55" s="124">
        <f t="shared" si="91"/>
        <v>256.8</v>
      </c>
      <c r="AX55" s="125">
        <f>RCFs!C$64</f>
        <v>17.125999999999998</v>
      </c>
      <c r="AY55" s="124">
        <f t="shared" si="82"/>
        <v>261.7</v>
      </c>
      <c r="AZ55" s="125">
        <f>RCFs!C$39</f>
        <v>17.45</v>
      </c>
      <c r="BA55" s="124">
        <f t="shared" si="83"/>
        <v>250.1</v>
      </c>
      <c r="BB55" s="125">
        <f>RCFs!C$41</f>
        <v>16.678999999999998</v>
      </c>
    </row>
    <row r="56" spans="1:54" s="67" customFormat="1" x14ac:dyDescent="0.2">
      <c r="A56" s="66">
        <v>1230</v>
      </c>
      <c r="B56" s="68" t="s">
        <v>186</v>
      </c>
      <c r="C56" s="46">
        <v>6</v>
      </c>
      <c r="D56" s="42">
        <f t="shared" si="84"/>
        <v>383.9</v>
      </c>
      <c r="E56" s="123">
        <f>RCFs!C$43</f>
        <v>63.983120993999997</v>
      </c>
      <c r="F56" s="124">
        <f t="shared" si="63"/>
        <v>100.2</v>
      </c>
      <c r="G56" s="123">
        <f>RCFs!C$5</f>
        <v>16.707999999999998</v>
      </c>
      <c r="H56" s="124">
        <f t="shared" si="64"/>
        <v>100.2</v>
      </c>
      <c r="I56" s="123">
        <f>RCFs!C$5</f>
        <v>16.707999999999998</v>
      </c>
      <c r="J56" s="111">
        <f t="shared" si="92"/>
        <v>110.3</v>
      </c>
      <c r="K56" s="111">
        <f t="shared" si="92"/>
        <v>137.30000000000001</v>
      </c>
      <c r="L56" s="111">
        <f t="shared" si="92"/>
        <v>147.4</v>
      </c>
      <c r="M56" s="111">
        <f t="shared" si="92"/>
        <v>162.4</v>
      </c>
      <c r="N56" s="111">
        <f t="shared" si="92"/>
        <v>200.5</v>
      </c>
      <c r="O56" s="111">
        <f t="shared" si="92"/>
        <v>215.5</v>
      </c>
      <c r="P56" s="111">
        <f t="shared" si="92"/>
        <v>300.7</v>
      </c>
      <c r="Q56" s="42">
        <f t="shared" si="66"/>
        <v>98.7</v>
      </c>
      <c r="R56" s="125">
        <f>RCFs!C$7</f>
        <v>16.45</v>
      </c>
      <c r="S56" s="111">
        <f t="shared" si="86"/>
        <v>128.30000000000001</v>
      </c>
      <c r="T56" s="111">
        <f t="shared" si="86"/>
        <v>148</v>
      </c>
      <c r="U56" s="42">
        <f t="shared" si="68"/>
        <v>97.2</v>
      </c>
      <c r="V56" s="125">
        <f>RCFs!C$9</f>
        <v>16.192</v>
      </c>
      <c r="W56" s="42">
        <f t="shared" si="87"/>
        <v>97.2</v>
      </c>
      <c r="X56" s="125">
        <f t="shared" si="94"/>
        <v>16.192</v>
      </c>
      <c r="Y56" s="111">
        <f t="shared" si="70"/>
        <v>106.9</v>
      </c>
      <c r="Z56" s="111">
        <f t="shared" si="93"/>
        <v>133.1</v>
      </c>
      <c r="AA56" s="111">
        <f t="shared" si="93"/>
        <v>157.4</v>
      </c>
      <c r="AB56" s="111">
        <f t="shared" si="93"/>
        <v>142.80000000000001</v>
      </c>
      <c r="AC56" s="111">
        <f t="shared" si="93"/>
        <v>210.8</v>
      </c>
      <c r="AD56" s="111">
        <f t="shared" si="93"/>
        <v>291.5</v>
      </c>
      <c r="AE56" s="42">
        <f t="shared" si="89"/>
        <v>93.1</v>
      </c>
      <c r="AF56" s="125">
        <f>RCFs!C$13</f>
        <v>15.52</v>
      </c>
      <c r="AG56" s="110">
        <f t="shared" si="90"/>
        <v>153.6</v>
      </c>
      <c r="AH56" s="110">
        <f t="shared" si="90"/>
        <v>195.5</v>
      </c>
      <c r="AI56" s="110">
        <f t="shared" si="90"/>
        <v>279.3</v>
      </c>
      <c r="AJ56" s="42">
        <f t="shared" si="74"/>
        <v>98.4</v>
      </c>
      <c r="AK56" s="125">
        <f>RCFs!C$25</f>
        <v>16.413333333333334</v>
      </c>
      <c r="AL56" s="42">
        <f t="shared" si="75"/>
        <v>132.4</v>
      </c>
      <c r="AM56" s="125">
        <f>RCFs!C$29</f>
        <v>22.076666666666664</v>
      </c>
      <c r="AN56" s="42">
        <f t="shared" si="76"/>
        <v>105.7</v>
      </c>
      <c r="AO56" s="125">
        <f>RCFs!C$33</f>
        <v>17.632999999999999</v>
      </c>
      <c r="AP56" s="110">
        <f t="shared" si="77"/>
        <v>158.5</v>
      </c>
      <c r="AQ56" s="124">
        <f t="shared" si="78"/>
        <v>104.5</v>
      </c>
      <c r="AR56" s="125">
        <f>RCFs!C$35</f>
        <v>17.43</v>
      </c>
      <c r="AS56" s="110">
        <f t="shared" si="79"/>
        <v>135.80000000000001</v>
      </c>
      <c r="AT56" s="110">
        <f t="shared" si="80"/>
        <v>25.2</v>
      </c>
      <c r="AU56" s="124">
        <f t="shared" si="81"/>
        <v>102.5</v>
      </c>
      <c r="AV56" s="124">
        <f>RCFs!C$37</f>
        <v>17.09</v>
      </c>
      <c r="AW56" s="124">
        <f t="shared" si="91"/>
        <v>102.7</v>
      </c>
      <c r="AX56" s="125">
        <f>RCFs!C$64</f>
        <v>17.125999999999998</v>
      </c>
      <c r="AY56" s="124">
        <f t="shared" si="82"/>
        <v>104.7</v>
      </c>
      <c r="AZ56" s="125">
        <f>RCFs!C$39</f>
        <v>17.45</v>
      </c>
      <c r="BA56" s="124">
        <f t="shared" si="83"/>
        <v>100</v>
      </c>
      <c r="BB56" s="125">
        <f>RCFs!C$41</f>
        <v>16.678999999999998</v>
      </c>
    </row>
    <row r="57" spans="1:54" s="67" customFormat="1" x14ac:dyDescent="0.2">
      <c r="A57" s="69" t="s">
        <v>206</v>
      </c>
      <c r="B57" s="68" t="s">
        <v>46</v>
      </c>
      <c r="C57" s="46">
        <v>9</v>
      </c>
      <c r="D57" s="70">
        <f t="shared" si="84"/>
        <v>150.1</v>
      </c>
      <c r="E57" s="71">
        <f>BB57</f>
        <v>16.678999999999998</v>
      </c>
      <c r="F57" s="124">
        <f t="shared" si="63"/>
        <v>150.30000000000001</v>
      </c>
      <c r="G57" s="123">
        <f>RCFs!C$5</f>
        <v>16.707999999999998</v>
      </c>
      <c r="H57" s="124">
        <f t="shared" si="64"/>
        <v>150.30000000000001</v>
      </c>
      <c r="I57" s="123">
        <f>RCFs!C$5</f>
        <v>16.707999999999998</v>
      </c>
      <c r="J57" s="111">
        <f t="shared" si="92"/>
        <v>165.4</v>
      </c>
      <c r="K57" s="111">
        <f t="shared" si="92"/>
        <v>206</v>
      </c>
      <c r="L57" s="111">
        <f t="shared" si="92"/>
        <v>221</v>
      </c>
      <c r="M57" s="111">
        <f t="shared" si="92"/>
        <v>243.6</v>
      </c>
      <c r="N57" s="111">
        <f t="shared" si="92"/>
        <v>300.7</v>
      </c>
      <c r="O57" s="111">
        <f t="shared" si="92"/>
        <v>323.3</v>
      </c>
      <c r="P57" s="111">
        <f t="shared" si="92"/>
        <v>451.1</v>
      </c>
      <c r="Q57" s="42">
        <f t="shared" si="66"/>
        <v>148</v>
      </c>
      <c r="R57" s="125">
        <f>RCFs!C$7</f>
        <v>16.45</v>
      </c>
      <c r="S57" s="111">
        <f t="shared" si="86"/>
        <v>192.4</v>
      </c>
      <c r="T57" s="111">
        <f t="shared" si="86"/>
        <v>222</v>
      </c>
      <c r="U57" s="42">
        <f t="shared" si="68"/>
        <v>145.69999999999999</v>
      </c>
      <c r="V57" s="125">
        <f>RCFs!C$9</f>
        <v>16.192</v>
      </c>
      <c r="W57" s="42">
        <f t="shared" si="87"/>
        <v>145.69999999999999</v>
      </c>
      <c r="X57" s="125">
        <f t="shared" si="94"/>
        <v>16.192</v>
      </c>
      <c r="Y57" s="111">
        <f t="shared" si="70"/>
        <v>160.19999999999999</v>
      </c>
      <c r="Z57" s="111">
        <f t="shared" si="93"/>
        <v>199.6</v>
      </c>
      <c r="AA57" s="111">
        <f t="shared" si="93"/>
        <v>236.1</v>
      </c>
      <c r="AB57" s="111">
        <f t="shared" si="93"/>
        <v>214.2</v>
      </c>
      <c r="AC57" s="111">
        <f t="shared" si="93"/>
        <v>316.2</v>
      </c>
      <c r="AD57" s="111">
        <f t="shared" si="93"/>
        <v>437.2</v>
      </c>
      <c r="AE57" s="42">
        <f t="shared" si="89"/>
        <v>139.69999999999999</v>
      </c>
      <c r="AF57" s="125">
        <f>RCFs!C$13</f>
        <v>15.52</v>
      </c>
      <c r="AG57" s="110">
        <f t="shared" si="90"/>
        <v>230.5</v>
      </c>
      <c r="AH57" s="110">
        <f t="shared" si="90"/>
        <v>293.39999999999998</v>
      </c>
      <c r="AI57" s="110">
        <f t="shared" si="90"/>
        <v>419.1</v>
      </c>
      <c r="AJ57" s="42">
        <f t="shared" si="74"/>
        <v>147.69999999999999</v>
      </c>
      <c r="AK57" s="125">
        <f>RCFs!C$25</f>
        <v>16.413333333333334</v>
      </c>
      <c r="AL57" s="42">
        <f t="shared" si="75"/>
        <v>198.6</v>
      </c>
      <c r="AM57" s="125">
        <f>RCFs!C$29</f>
        <v>22.076666666666664</v>
      </c>
      <c r="AN57" s="42">
        <f t="shared" si="76"/>
        <v>158.6</v>
      </c>
      <c r="AO57" s="125">
        <f>RCFs!C$33</f>
        <v>17.632999999999999</v>
      </c>
      <c r="AP57" s="110">
        <f t="shared" si="77"/>
        <v>237.9</v>
      </c>
      <c r="AQ57" s="124">
        <f t="shared" si="78"/>
        <v>156.80000000000001</v>
      </c>
      <c r="AR57" s="125">
        <f>RCFs!C$35</f>
        <v>17.43</v>
      </c>
      <c r="AS57" s="110">
        <f t="shared" si="79"/>
        <v>203.8</v>
      </c>
      <c r="AT57" s="110">
        <f t="shared" si="80"/>
        <v>25.2</v>
      </c>
      <c r="AU57" s="124">
        <f t="shared" si="81"/>
        <v>153.80000000000001</v>
      </c>
      <c r="AV57" s="124">
        <f>RCFs!C$37</f>
        <v>17.09</v>
      </c>
      <c r="AW57" s="124">
        <f t="shared" si="91"/>
        <v>154.1</v>
      </c>
      <c r="AX57" s="125">
        <f>RCFs!C$64</f>
        <v>17.125999999999998</v>
      </c>
      <c r="AY57" s="124">
        <f t="shared" si="82"/>
        <v>157</v>
      </c>
      <c r="AZ57" s="125">
        <f>RCFs!C$39</f>
        <v>17.45</v>
      </c>
      <c r="BA57" s="124">
        <f t="shared" si="83"/>
        <v>150.1</v>
      </c>
      <c r="BB57" s="125">
        <f>RCFs!C$41</f>
        <v>16.678999999999998</v>
      </c>
    </row>
    <row r="58" spans="1:54" s="67" customFormat="1" x14ac:dyDescent="0.2">
      <c r="A58" s="69" t="s">
        <v>207</v>
      </c>
      <c r="B58" s="68" t="s">
        <v>47</v>
      </c>
      <c r="C58" s="46">
        <v>60</v>
      </c>
      <c r="D58" s="70">
        <f t="shared" si="84"/>
        <v>1000.7</v>
      </c>
      <c r="E58" s="71">
        <f>BB58</f>
        <v>16.678999999999998</v>
      </c>
      <c r="F58" s="124">
        <f t="shared" si="63"/>
        <v>1002.4</v>
      </c>
      <c r="G58" s="123">
        <f>RCFs!C$5</f>
        <v>16.707999999999998</v>
      </c>
      <c r="H58" s="124">
        <f t="shared" si="64"/>
        <v>1002.4</v>
      </c>
      <c r="I58" s="123">
        <f>RCFs!C$5</f>
        <v>16.707999999999998</v>
      </c>
      <c r="J58" s="111">
        <f t="shared" si="92"/>
        <v>1102.7</v>
      </c>
      <c r="K58" s="111">
        <f t="shared" si="92"/>
        <v>1373.4</v>
      </c>
      <c r="L58" s="111">
        <f t="shared" si="92"/>
        <v>1473.6</v>
      </c>
      <c r="M58" s="111">
        <f t="shared" si="92"/>
        <v>1624</v>
      </c>
      <c r="N58" s="111">
        <f t="shared" si="92"/>
        <v>2005</v>
      </c>
      <c r="O58" s="111">
        <f t="shared" si="92"/>
        <v>2155.3000000000002</v>
      </c>
      <c r="P58" s="111">
        <f t="shared" si="92"/>
        <v>3007.4</v>
      </c>
      <c r="Q58" s="42">
        <f t="shared" si="66"/>
        <v>987</v>
      </c>
      <c r="R58" s="125">
        <f>RCFs!C$7</f>
        <v>16.45</v>
      </c>
      <c r="S58" s="111">
        <f t="shared" si="86"/>
        <v>1283.0999999999999</v>
      </c>
      <c r="T58" s="111">
        <f t="shared" si="86"/>
        <v>1480.5</v>
      </c>
      <c r="U58" s="42">
        <f t="shared" si="68"/>
        <v>971.5</v>
      </c>
      <c r="V58" s="125">
        <f>RCFs!C$9</f>
        <v>16.192</v>
      </c>
      <c r="W58" s="42">
        <f t="shared" si="87"/>
        <v>971.5</v>
      </c>
      <c r="X58" s="125">
        <f t="shared" si="94"/>
        <v>16.192</v>
      </c>
      <c r="Y58" s="111">
        <f t="shared" si="70"/>
        <v>1068.5999999999999</v>
      </c>
      <c r="Z58" s="111">
        <f t="shared" si="93"/>
        <v>1331</v>
      </c>
      <c r="AA58" s="111">
        <f t="shared" si="93"/>
        <v>1573.9</v>
      </c>
      <c r="AB58" s="111">
        <f t="shared" si="93"/>
        <v>1428.1</v>
      </c>
      <c r="AC58" s="111">
        <f t="shared" si="93"/>
        <v>2108.1999999999998</v>
      </c>
      <c r="AD58" s="111">
        <f t="shared" si="93"/>
        <v>2914.6</v>
      </c>
      <c r="AE58" s="42">
        <f t="shared" si="89"/>
        <v>931.2</v>
      </c>
      <c r="AF58" s="125">
        <f>RCFs!C$13</f>
        <v>15.52</v>
      </c>
      <c r="AG58" s="110">
        <f t="shared" si="90"/>
        <v>1536.5</v>
      </c>
      <c r="AH58" s="110">
        <f t="shared" si="90"/>
        <v>1955.5</v>
      </c>
      <c r="AI58" s="110">
        <f t="shared" si="90"/>
        <v>2793.6</v>
      </c>
      <c r="AJ58" s="42">
        <f t="shared" si="74"/>
        <v>984.8</v>
      </c>
      <c r="AK58" s="125">
        <f>RCFs!C$25</f>
        <v>16.413333333333334</v>
      </c>
      <c r="AL58" s="42">
        <f t="shared" si="75"/>
        <v>1324.6</v>
      </c>
      <c r="AM58" s="125">
        <f>RCFs!C$29</f>
        <v>22.076666666666664</v>
      </c>
      <c r="AN58" s="42">
        <f t="shared" si="76"/>
        <v>1057.9000000000001</v>
      </c>
      <c r="AO58" s="125">
        <f>RCFs!C$33</f>
        <v>17.632999999999999</v>
      </c>
      <c r="AP58" s="110">
        <f t="shared" si="77"/>
        <v>1586.8</v>
      </c>
      <c r="AQ58" s="124">
        <f t="shared" si="78"/>
        <v>1045.8</v>
      </c>
      <c r="AR58" s="125">
        <f>RCFs!C$35</f>
        <v>17.43</v>
      </c>
      <c r="AS58" s="110">
        <f t="shared" si="79"/>
        <v>1359.5</v>
      </c>
      <c r="AT58" s="110">
        <f t="shared" si="80"/>
        <v>25.2</v>
      </c>
      <c r="AU58" s="124">
        <f t="shared" si="81"/>
        <v>1025.4000000000001</v>
      </c>
      <c r="AV58" s="124">
        <f>RCFs!C$37</f>
        <v>17.09</v>
      </c>
      <c r="AW58" s="124">
        <f t="shared" si="91"/>
        <v>1027.5</v>
      </c>
      <c r="AX58" s="125">
        <f>RCFs!C$64</f>
        <v>17.125999999999998</v>
      </c>
      <c r="AY58" s="124">
        <f t="shared" si="82"/>
        <v>1047</v>
      </c>
      <c r="AZ58" s="125">
        <f>RCFs!C$39</f>
        <v>17.45</v>
      </c>
      <c r="BA58" s="124">
        <f t="shared" si="83"/>
        <v>1000.7</v>
      </c>
      <c r="BB58" s="125">
        <f>RCFs!C$41</f>
        <v>16.678999999999998</v>
      </c>
    </row>
    <row r="59" spans="1:54" s="67" customFormat="1" x14ac:dyDescent="0.2">
      <c r="A59" s="69">
        <v>1238</v>
      </c>
      <c r="B59" s="68" t="s">
        <v>187</v>
      </c>
      <c r="C59" s="46">
        <v>55</v>
      </c>
      <c r="D59" s="70">
        <f t="shared" si="84"/>
        <v>917.3</v>
      </c>
      <c r="E59" s="71">
        <f>BB59</f>
        <v>16.678999999999998</v>
      </c>
      <c r="F59" s="124">
        <f t="shared" si="63"/>
        <v>918.9</v>
      </c>
      <c r="G59" s="123">
        <f>RCFs!C$5</f>
        <v>16.707999999999998</v>
      </c>
      <c r="H59" s="124">
        <f t="shared" si="64"/>
        <v>918.9</v>
      </c>
      <c r="I59" s="123">
        <f>RCFs!C$5</f>
        <v>16.707999999999998</v>
      </c>
      <c r="J59" s="111">
        <f t="shared" si="92"/>
        <v>1010.8</v>
      </c>
      <c r="K59" s="111">
        <f t="shared" si="92"/>
        <v>1258.9000000000001</v>
      </c>
      <c r="L59" s="111">
        <f t="shared" si="92"/>
        <v>1350.8</v>
      </c>
      <c r="M59" s="111">
        <f t="shared" si="92"/>
        <v>1488.7</v>
      </c>
      <c r="N59" s="111">
        <f t="shared" si="92"/>
        <v>1837.9</v>
      </c>
      <c r="O59" s="111">
        <f t="shared" si="92"/>
        <v>1975.7</v>
      </c>
      <c r="P59" s="111">
        <f t="shared" si="92"/>
        <v>2756.8</v>
      </c>
      <c r="Q59" s="42">
        <f t="shared" si="66"/>
        <v>904.7</v>
      </c>
      <c r="R59" s="125">
        <f>RCFs!C$7</f>
        <v>16.45</v>
      </c>
      <c r="S59" s="111">
        <f t="shared" si="86"/>
        <v>1176.0999999999999</v>
      </c>
      <c r="T59" s="111">
        <f t="shared" si="86"/>
        <v>1357</v>
      </c>
      <c r="U59" s="42">
        <f t="shared" si="68"/>
        <v>890.6</v>
      </c>
      <c r="V59" s="125">
        <f>RCFs!C$9</f>
        <v>16.192</v>
      </c>
      <c r="W59" s="42">
        <f t="shared" si="87"/>
        <v>890.6</v>
      </c>
      <c r="X59" s="125">
        <f t="shared" si="94"/>
        <v>16.192</v>
      </c>
      <c r="Y59" s="111">
        <f t="shared" si="70"/>
        <v>979.6</v>
      </c>
      <c r="Z59" s="111">
        <f t="shared" si="93"/>
        <v>1220.0999999999999</v>
      </c>
      <c r="AA59" s="111">
        <f t="shared" si="93"/>
        <v>1442.7</v>
      </c>
      <c r="AB59" s="111">
        <f t="shared" si="93"/>
        <v>1309.0999999999999</v>
      </c>
      <c r="AC59" s="111">
        <f t="shared" si="93"/>
        <v>1932.5</v>
      </c>
      <c r="AD59" s="111">
        <f t="shared" si="93"/>
        <v>2671.7</v>
      </c>
      <c r="AE59" s="42">
        <f t="shared" si="89"/>
        <v>853.6</v>
      </c>
      <c r="AF59" s="125">
        <f>RCFs!C$13</f>
        <v>15.52</v>
      </c>
      <c r="AG59" s="110">
        <f t="shared" si="90"/>
        <v>1408.4</v>
      </c>
      <c r="AH59" s="110">
        <f t="shared" si="90"/>
        <v>1792.6</v>
      </c>
      <c r="AI59" s="110">
        <f t="shared" si="90"/>
        <v>2560.8000000000002</v>
      </c>
      <c r="AJ59" s="42">
        <f t="shared" si="74"/>
        <v>902.7</v>
      </c>
      <c r="AK59" s="125">
        <f>RCFs!C$25</f>
        <v>16.413333333333334</v>
      </c>
      <c r="AL59" s="42">
        <f t="shared" si="75"/>
        <v>1214.2</v>
      </c>
      <c r="AM59" s="125">
        <f>RCFs!C$29</f>
        <v>22.076666666666664</v>
      </c>
      <c r="AN59" s="42">
        <f t="shared" si="76"/>
        <v>969.8</v>
      </c>
      <c r="AO59" s="125">
        <f>RCFs!C$33</f>
        <v>17.632999999999999</v>
      </c>
      <c r="AP59" s="110">
        <f t="shared" si="77"/>
        <v>1454.7</v>
      </c>
      <c r="AQ59" s="124">
        <f t="shared" si="78"/>
        <v>958.6</v>
      </c>
      <c r="AR59" s="125">
        <f>RCFs!C$35</f>
        <v>17.43</v>
      </c>
      <c r="AS59" s="110">
        <f t="shared" si="79"/>
        <v>1246.0999999999999</v>
      </c>
      <c r="AT59" s="110">
        <f t="shared" si="80"/>
        <v>25.2</v>
      </c>
      <c r="AU59" s="124">
        <f t="shared" si="81"/>
        <v>939.9</v>
      </c>
      <c r="AV59" s="124">
        <f>RCFs!C$37</f>
        <v>17.09</v>
      </c>
      <c r="AW59" s="124">
        <f t="shared" si="91"/>
        <v>941.9</v>
      </c>
      <c r="AX59" s="125">
        <f>RCFs!C$64</f>
        <v>17.125999999999998</v>
      </c>
      <c r="AY59" s="124">
        <f t="shared" si="82"/>
        <v>959.7</v>
      </c>
      <c r="AZ59" s="125">
        <f>RCFs!C$39</f>
        <v>17.45</v>
      </c>
      <c r="BA59" s="124">
        <f t="shared" si="83"/>
        <v>917.3</v>
      </c>
      <c r="BB59" s="125">
        <f>RCFs!C$41</f>
        <v>16.678999999999998</v>
      </c>
    </row>
    <row r="60" spans="1:54" s="67" customFormat="1" x14ac:dyDescent="0.2">
      <c r="A60" s="66">
        <v>1239</v>
      </c>
      <c r="B60" s="68" t="s">
        <v>188</v>
      </c>
      <c r="C60" s="46">
        <v>27</v>
      </c>
      <c r="D60" s="42">
        <f t="shared" si="84"/>
        <v>1727.5</v>
      </c>
      <c r="E60" s="123">
        <f>RCFs!C$43</f>
        <v>63.983120993999997</v>
      </c>
      <c r="F60" s="124">
        <f t="shared" si="63"/>
        <v>451.1</v>
      </c>
      <c r="G60" s="123">
        <f>RCFs!C$5</f>
        <v>16.707999999999998</v>
      </c>
      <c r="H60" s="124">
        <f t="shared" si="64"/>
        <v>451.1</v>
      </c>
      <c r="I60" s="123">
        <f>RCFs!C$5</f>
        <v>16.707999999999998</v>
      </c>
      <c r="J60" s="111">
        <f t="shared" si="92"/>
        <v>496.2</v>
      </c>
      <c r="K60" s="111">
        <f t="shared" si="92"/>
        <v>618</v>
      </c>
      <c r="L60" s="111">
        <f t="shared" si="92"/>
        <v>663.1</v>
      </c>
      <c r="M60" s="111">
        <f t="shared" si="92"/>
        <v>730.8</v>
      </c>
      <c r="N60" s="111">
        <f t="shared" si="92"/>
        <v>902.2</v>
      </c>
      <c r="O60" s="111">
        <f t="shared" si="92"/>
        <v>969.9</v>
      </c>
      <c r="P60" s="111">
        <f t="shared" si="92"/>
        <v>1353.3</v>
      </c>
      <c r="Q60" s="42">
        <f t="shared" si="66"/>
        <v>444.1</v>
      </c>
      <c r="R60" s="125">
        <f>RCFs!C$7</f>
        <v>16.45</v>
      </c>
      <c r="S60" s="111">
        <f t="shared" si="86"/>
        <v>577.29999999999995</v>
      </c>
      <c r="T60" s="111">
        <f t="shared" si="86"/>
        <v>666.1</v>
      </c>
      <c r="U60" s="42">
        <f t="shared" si="68"/>
        <v>437.2</v>
      </c>
      <c r="V60" s="125">
        <f>RCFs!C$9</f>
        <v>16.192</v>
      </c>
      <c r="W60" s="42">
        <f t="shared" si="87"/>
        <v>437.2</v>
      </c>
      <c r="X60" s="125">
        <f t="shared" si="94"/>
        <v>16.192</v>
      </c>
      <c r="Y60" s="111">
        <f t="shared" si="70"/>
        <v>480.9</v>
      </c>
      <c r="Z60" s="111">
        <f t="shared" si="93"/>
        <v>598.9</v>
      </c>
      <c r="AA60" s="111">
        <f t="shared" si="93"/>
        <v>708.2</v>
      </c>
      <c r="AB60" s="111">
        <f t="shared" si="93"/>
        <v>642.70000000000005</v>
      </c>
      <c r="AC60" s="111">
        <f t="shared" si="93"/>
        <v>948.7</v>
      </c>
      <c r="AD60" s="111">
        <f t="shared" si="93"/>
        <v>1311.6</v>
      </c>
      <c r="AE60" s="42">
        <f t="shared" si="89"/>
        <v>419</v>
      </c>
      <c r="AF60" s="125">
        <f>RCFs!C$13</f>
        <v>15.52</v>
      </c>
      <c r="AG60" s="110">
        <f t="shared" si="90"/>
        <v>691.4</v>
      </c>
      <c r="AH60" s="110">
        <f t="shared" si="90"/>
        <v>879.9</v>
      </c>
      <c r="AI60" s="110">
        <f t="shared" si="90"/>
        <v>1257</v>
      </c>
      <c r="AJ60" s="42">
        <f t="shared" si="74"/>
        <v>443.1</v>
      </c>
      <c r="AK60" s="125">
        <f>RCFs!C$25</f>
        <v>16.413333333333334</v>
      </c>
      <c r="AL60" s="42">
        <f t="shared" si="75"/>
        <v>596</v>
      </c>
      <c r="AM60" s="125">
        <f>RCFs!C$29</f>
        <v>22.076666666666664</v>
      </c>
      <c r="AN60" s="42">
        <f t="shared" si="76"/>
        <v>476</v>
      </c>
      <c r="AO60" s="125">
        <f>RCFs!C$33</f>
        <v>17.632999999999999</v>
      </c>
      <c r="AP60" s="110">
        <f t="shared" si="77"/>
        <v>714</v>
      </c>
      <c r="AQ60" s="124">
        <f t="shared" si="78"/>
        <v>470.6</v>
      </c>
      <c r="AR60" s="125">
        <f>RCFs!C$35</f>
        <v>17.43</v>
      </c>
      <c r="AS60" s="110">
        <f t="shared" si="79"/>
        <v>611.70000000000005</v>
      </c>
      <c r="AT60" s="110">
        <f t="shared" si="80"/>
        <v>25.2</v>
      </c>
      <c r="AU60" s="124">
        <f t="shared" si="81"/>
        <v>461.4</v>
      </c>
      <c r="AV60" s="124">
        <f>RCFs!C$37</f>
        <v>17.09</v>
      </c>
      <c r="AW60" s="124">
        <f t="shared" si="91"/>
        <v>462.4</v>
      </c>
      <c r="AX60" s="125">
        <f>RCFs!C$64</f>
        <v>17.125999999999998</v>
      </c>
      <c r="AY60" s="124">
        <f t="shared" si="82"/>
        <v>471.1</v>
      </c>
      <c r="AZ60" s="125">
        <f>RCFs!C$39</f>
        <v>17.45</v>
      </c>
      <c r="BA60" s="124">
        <f t="shared" si="83"/>
        <v>450.3</v>
      </c>
      <c r="BB60" s="125">
        <f>RCFs!C$41</f>
        <v>16.678999999999998</v>
      </c>
    </row>
    <row r="61" spans="1:54" s="67" customFormat="1" x14ac:dyDescent="0.2">
      <c r="A61" s="66" t="s">
        <v>40</v>
      </c>
      <c r="B61" s="68" t="s">
        <v>60</v>
      </c>
      <c r="C61" s="46">
        <v>140</v>
      </c>
      <c r="D61" s="42">
        <f t="shared" si="84"/>
        <v>8957.6</v>
      </c>
      <c r="E61" s="123">
        <f>RCFs!C$43</f>
        <v>63.983120993999997</v>
      </c>
      <c r="F61" s="124">
        <f t="shared" si="63"/>
        <v>2339.1</v>
      </c>
      <c r="G61" s="123">
        <f>RCFs!C$5</f>
        <v>16.707999999999998</v>
      </c>
      <c r="H61" s="124">
        <f t="shared" si="64"/>
        <v>2339.1</v>
      </c>
      <c r="I61" s="123">
        <f>RCFs!C$5</f>
        <v>16.707999999999998</v>
      </c>
      <c r="J61" s="111">
        <f t="shared" ref="J61:P70" si="95">ROUND($C61*$I61*J$6,1)</f>
        <v>2573</v>
      </c>
      <c r="K61" s="111">
        <f t="shared" si="95"/>
        <v>3204.6</v>
      </c>
      <c r="L61" s="111">
        <f t="shared" si="95"/>
        <v>3438.5</v>
      </c>
      <c r="M61" s="111">
        <f t="shared" si="95"/>
        <v>3789.4</v>
      </c>
      <c r="N61" s="111">
        <f t="shared" si="95"/>
        <v>4678.2</v>
      </c>
      <c r="O61" s="111">
        <f t="shared" si="95"/>
        <v>5029.1000000000004</v>
      </c>
      <c r="P61" s="111">
        <f t="shared" si="95"/>
        <v>7017.4</v>
      </c>
      <c r="Q61" s="42">
        <f t="shared" si="66"/>
        <v>2303</v>
      </c>
      <c r="R61" s="125">
        <f>RCFs!C$7</f>
        <v>16.45</v>
      </c>
      <c r="S61" s="111">
        <f t="shared" ref="S61:T80" si="96">ROUNDDOWN($Q61*S$6,1)</f>
        <v>2993.9</v>
      </c>
      <c r="T61" s="111">
        <f t="shared" si="96"/>
        <v>3454.5</v>
      </c>
      <c r="U61" s="42">
        <f t="shared" si="68"/>
        <v>2266.9</v>
      </c>
      <c r="V61" s="125">
        <f>RCFs!C$9</f>
        <v>16.192</v>
      </c>
      <c r="W61" s="42">
        <f t="shared" si="87"/>
        <v>2266.9</v>
      </c>
      <c r="X61" s="125">
        <f t="shared" si="94"/>
        <v>16.192</v>
      </c>
      <c r="Y61" s="111">
        <f t="shared" si="70"/>
        <v>2493.5</v>
      </c>
      <c r="Z61" s="111">
        <f t="shared" ref="Z61:AD70" si="97">ROUND($C61*$X61*Z$6,1)</f>
        <v>3105.6</v>
      </c>
      <c r="AA61" s="111">
        <f t="shared" si="97"/>
        <v>3672.3</v>
      </c>
      <c r="AB61" s="111">
        <f t="shared" si="97"/>
        <v>3332.3</v>
      </c>
      <c r="AC61" s="111">
        <f t="shared" si="97"/>
        <v>4919.1000000000004</v>
      </c>
      <c r="AD61" s="111">
        <f t="shared" si="97"/>
        <v>6800.6</v>
      </c>
      <c r="AE61" s="42">
        <f t="shared" si="89"/>
        <v>2172.8000000000002</v>
      </c>
      <c r="AF61" s="125">
        <f>RCFs!C$13</f>
        <v>15.52</v>
      </c>
      <c r="AG61" s="110">
        <f t="shared" ref="AG61:AI80" si="98">ROUND($AE61*AG$6,1)</f>
        <v>3585.1</v>
      </c>
      <c r="AH61" s="110">
        <f t="shared" si="98"/>
        <v>4562.8999999999996</v>
      </c>
      <c r="AI61" s="110">
        <f t="shared" si="98"/>
        <v>6518.4</v>
      </c>
      <c r="AJ61" s="42">
        <f t="shared" si="74"/>
        <v>2297.8000000000002</v>
      </c>
      <c r="AK61" s="125">
        <f>RCFs!C$25</f>
        <v>16.413333333333334</v>
      </c>
      <c r="AL61" s="42">
        <f t="shared" si="75"/>
        <v>3090.7</v>
      </c>
      <c r="AM61" s="125">
        <f>RCFs!C$29</f>
        <v>22.076666666666664</v>
      </c>
      <c r="AN61" s="42">
        <f t="shared" si="76"/>
        <v>2468.6</v>
      </c>
      <c r="AO61" s="125">
        <f>RCFs!C$33</f>
        <v>17.632999999999999</v>
      </c>
      <c r="AP61" s="110">
        <f t="shared" si="77"/>
        <v>3702.9</v>
      </c>
      <c r="AQ61" s="124">
        <f t="shared" si="78"/>
        <v>2440.1999999999998</v>
      </c>
      <c r="AR61" s="125">
        <f>RCFs!C$35</f>
        <v>17.43</v>
      </c>
      <c r="AS61" s="110">
        <f t="shared" si="79"/>
        <v>3172.2</v>
      </c>
      <c r="AT61" s="110">
        <f t="shared" si="80"/>
        <v>25.2</v>
      </c>
      <c r="AU61" s="124">
        <f t="shared" si="81"/>
        <v>2392.6</v>
      </c>
      <c r="AV61" s="124">
        <f>RCFs!C$37</f>
        <v>17.09</v>
      </c>
      <c r="AW61" s="124">
        <f t="shared" si="91"/>
        <v>2397.6</v>
      </c>
      <c r="AX61" s="125">
        <f>RCFs!C$64</f>
        <v>17.125999999999998</v>
      </c>
      <c r="AY61" s="124">
        <f t="shared" si="82"/>
        <v>2443</v>
      </c>
      <c r="AZ61" s="125">
        <f>RCFs!C$39</f>
        <v>17.45</v>
      </c>
      <c r="BA61" s="124">
        <f t="shared" si="83"/>
        <v>2335</v>
      </c>
      <c r="BB61" s="125">
        <f>RCFs!C$41</f>
        <v>16.678999999999998</v>
      </c>
    </row>
    <row r="62" spans="1:54" s="67" customFormat="1" x14ac:dyDescent="0.2">
      <c r="A62" s="66">
        <v>1257</v>
      </c>
      <c r="B62" s="68" t="s">
        <v>189</v>
      </c>
      <c r="C62" s="46">
        <v>300</v>
      </c>
      <c r="D62" s="42">
        <f t="shared" si="84"/>
        <v>19194.900000000001</v>
      </c>
      <c r="E62" s="123">
        <f>RCFs!C$43</f>
        <v>63.983120993999997</v>
      </c>
      <c r="F62" s="124">
        <f t="shared" si="63"/>
        <v>5012.3999999999996</v>
      </c>
      <c r="G62" s="123">
        <f>RCFs!C$5</f>
        <v>16.707999999999998</v>
      </c>
      <c r="H62" s="124">
        <f t="shared" si="64"/>
        <v>5012.3999999999996</v>
      </c>
      <c r="I62" s="123">
        <f>RCFs!C$5</f>
        <v>16.707999999999998</v>
      </c>
      <c r="J62" s="111">
        <f t="shared" si="95"/>
        <v>5513.6</v>
      </c>
      <c r="K62" s="111">
        <f t="shared" si="95"/>
        <v>6867</v>
      </c>
      <c r="L62" s="111">
        <f t="shared" si="95"/>
        <v>7368.2</v>
      </c>
      <c r="M62" s="111">
        <f t="shared" si="95"/>
        <v>8120.1</v>
      </c>
      <c r="N62" s="111">
        <f t="shared" si="95"/>
        <v>10024.799999999999</v>
      </c>
      <c r="O62" s="111">
        <f t="shared" si="95"/>
        <v>10776.7</v>
      </c>
      <c r="P62" s="111">
        <f t="shared" si="95"/>
        <v>15037.2</v>
      </c>
      <c r="Q62" s="42">
        <f t="shared" si="66"/>
        <v>4935</v>
      </c>
      <c r="R62" s="125">
        <f>RCFs!C$7</f>
        <v>16.45</v>
      </c>
      <c r="S62" s="111">
        <f t="shared" si="96"/>
        <v>6415.5</v>
      </c>
      <c r="T62" s="111">
        <f t="shared" si="96"/>
        <v>7402.5</v>
      </c>
      <c r="U62" s="42">
        <f t="shared" si="68"/>
        <v>4857.6000000000004</v>
      </c>
      <c r="V62" s="125">
        <f>RCFs!C$9</f>
        <v>16.192</v>
      </c>
      <c r="W62" s="42">
        <f t="shared" si="87"/>
        <v>4857.6000000000004</v>
      </c>
      <c r="X62" s="125">
        <f t="shared" si="94"/>
        <v>16.192</v>
      </c>
      <c r="Y62" s="111">
        <f t="shared" si="70"/>
        <v>5343.3</v>
      </c>
      <c r="Z62" s="111">
        <f t="shared" si="97"/>
        <v>6654.9</v>
      </c>
      <c r="AA62" s="111">
        <f t="shared" si="97"/>
        <v>7869.3</v>
      </c>
      <c r="AB62" s="111">
        <f t="shared" si="97"/>
        <v>7140.7</v>
      </c>
      <c r="AC62" s="111">
        <f t="shared" si="97"/>
        <v>10541</v>
      </c>
      <c r="AD62" s="111">
        <f t="shared" si="97"/>
        <v>14572.8</v>
      </c>
      <c r="AE62" s="42">
        <f t="shared" si="89"/>
        <v>4656</v>
      </c>
      <c r="AF62" s="125">
        <f>RCFs!C$13</f>
        <v>15.52</v>
      </c>
      <c r="AG62" s="110">
        <f t="shared" si="98"/>
        <v>7682.4</v>
      </c>
      <c r="AH62" s="110">
        <f t="shared" si="98"/>
        <v>9777.6</v>
      </c>
      <c r="AI62" s="110">
        <f t="shared" si="98"/>
        <v>13968</v>
      </c>
      <c r="AJ62" s="42">
        <f t="shared" si="74"/>
        <v>4924</v>
      </c>
      <c r="AK62" s="125">
        <f>RCFs!C$25</f>
        <v>16.413333333333334</v>
      </c>
      <c r="AL62" s="42">
        <f t="shared" si="75"/>
        <v>6623</v>
      </c>
      <c r="AM62" s="125">
        <f>RCFs!C$29</f>
        <v>22.076666666666664</v>
      </c>
      <c r="AN62" s="42">
        <f t="shared" si="76"/>
        <v>5289.9</v>
      </c>
      <c r="AO62" s="125">
        <f>RCFs!C$33</f>
        <v>17.632999999999999</v>
      </c>
      <c r="AP62" s="110">
        <f t="shared" si="77"/>
        <v>7934.8</v>
      </c>
      <c r="AQ62" s="124">
        <f t="shared" si="78"/>
        <v>5229</v>
      </c>
      <c r="AR62" s="125">
        <f>RCFs!C$35</f>
        <v>17.43</v>
      </c>
      <c r="AS62" s="110">
        <f t="shared" si="79"/>
        <v>6797.7</v>
      </c>
      <c r="AT62" s="110">
        <f t="shared" si="80"/>
        <v>25.2</v>
      </c>
      <c r="AU62" s="124">
        <f t="shared" si="81"/>
        <v>5127</v>
      </c>
      <c r="AV62" s="124">
        <f>RCFs!C$37</f>
        <v>17.09</v>
      </c>
      <c r="AW62" s="124">
        <f t="shared" si="91"/>
        <v>5137.8</v>
      </c>
      <c r="AX62" s="125">
        <f>RCFs!C$64</f>
        <v>17.125999999999998</v>
      </c>
      <c r="AY62" s="124">
        <f t="shared" si="82"/>
        <v>5235</v>
      </c>
      <c r="AZ62" s="125">
        <f>RCFs!C$39</f>
        <v>17.45</v>
      </c>
      <c r="BA62" s="124">
        <f t="shared" si="83"/>
        <v>5003.7</v>
      </c>
      <c r="BB62" s="125">
        <f>RCFs!C$41</f>
        <v>16.678999999999998</v>
      </c>
    </row>
    <row r="63" spans="1:54" s="67" customFormat="1" x14ac:dyDescent="0.2">
      <c r="A63" s="66">
        <v>1261</v>
      </c>
      <c r="B63" s="68" t="s">
        <v>190</v>
      </c>
      <c r="C63" s="46">
        <v>600</v>
      </c>
      <c r="D63" s="42">
        <f t="shared" si="84"/>
        <v>38389.9</v>
      </c>
      <c r="E63" s="123">
        <f>RCFs!C$43</f>
        <v>63.983120993999997</v>
      </c>
      <c r="F63" s="124">
        <f t="shared" si="63"/>
        <v>10024.799999999999</v>
      </c>
      <c r="G63" s="123">
        <f>RCFs!C$5</f>
        <v>16.707999999999998</v>
      </c>
      <c r="H63" s="124">
        <f t="shared" si="64"/>
        <v>10024.799999999999</v>
      </c>
      <c r="I63" s="123">
        <f>RCFs!C$5</f>
        <v>16.707999999999998</v>
      </c>
      <c r="J63" s="111">
        <f t="shared" si="95"/>
        <v>11027.3</v>
      </c>
      <c r="K63" s="111">
        <f t="shared" si="95"/>
        <v>13734</v>
      </c>
      <c r="L63" s="111">
        <f t="shared" si="95"/>
        <v>14736.5</v>
      </c>
      <c r="M63" s="111">
        <f t="shared" si="95"/>
        <v>16240.2</v>
      </c>
      <c r="N63" s="111">
        <f t="shared" si="95"/>
        <v>20049.599999999999</v>
      </c>
      <c r="O63" s="111">
        <f t="shared" si="95"/>
        <v>21553.3</v>
      </c>
      <c r="P63" s="111">
        <f t="shared" si="95"/>
        <v>30074.400000000001</v>
      </c>
      <c r="Q63" s="42">
        <f t="shared" si="66"/>
        <v>9870</v>
      </c>
      <c r="R63" s="125">
        <f>RCFs!C$7</f>
        <v>16.45</v>
      </c>
      <c r="S63" s="111">
        <f t="shared" si="96"/>
        <v>12831</v>
      </c>
      <c r="T63" s="111">
        <f t="shared" si="96"/>
        <v>14805</v>
      </c>
      <c r="U63" s="42">
        <f t="shared" si="68"/>
        <v>9715.2000000000007</v>
      </c>
      <c r="V63" s="125">
        <f>RCFs!C$9</f>
        <v>16.192</v>
      </c>
      <c r="W63" s="42">
        <f t="shared" si="87"/>
        <v>9715.2000000000007</v>
      </c>
      <c r="X63" s="125">
        <f t="shared" si="94"/>
        <v>16.192</v>
      </c>
      <c r="Y63" s="111">
        <f t="shared" si="70"/>
        <v>10686.7</v>
      </c>
      <c r="Z63" s="111">
        <f t="shared" si="97"/>
        <v>13309.8</v>
      </c>
      <c r="AA63" s="111">
        <f t="shared" si="97"/>
        <v>15738.6</v>
      </c>
      <c r="AB63" s="111">
        <f t="shared" si="97"/>
        <v>14281.3</v>
      </c>
      <c r="AC63" s="111">
        <f t="shared" si="97"/>
        <v>21082</v>
      </c>
      <c r="AD63" s="111">
        <f t="shared" si="97"/>
        <v>29145.599999999999</v>
      </c>
      <c r="AE63" s="42">
        <f t="shared" si="89"/>
        <v>9312</v>
      </c>
      <c r="AF63" s="125">
        <f>RCFs!C$13</f>
        <v>15.52</v>
      </c>
      <c r="AG63" s="110">
        <f t="shared" si="98"/>
        <v>15364.8</v>
      </c>
      <c r="AH63" s="110">
        <f t="shared" si="98"/>
        <v>19555.2</v>
      </c>
      <c r="AI63" s="110">
        <f t="shared" si="98"/>
        <v>27936</v>
      </c>
      <c r="AJ63" s="42">
        <f t="shared" si="74"/>
        <v>9848</v>
      </c>
      <c r="AK63" s="125">
        <f>RCFs!C$25</f>
        <v>16.413333333333334</v>
      </c>
      <c r="AL63" s="42">
        <f t="shared" si="75"/>
        <v>13246</v>
      </c>
      <c r="AM63" s="125">
        <f>RCFs!C$29</f>
        <v>22.076666666666664</v>
      </c>
      <c r="AN63" s="42">
        <f t="shared" si="76"/>
        <v>10579.8</v>
      </c>
      <c r="AO63" s="125">
        <f>RCFs!C$33</f>
        <v>17.632999999999999</v>
      </c>
      <c r="AP63" s="110">
        <f t="shared" si="77"/>
        <v>15869.7</v>
      </c>
      <c r="AQ63" s="124">
        <f t="shared" si="78"/>
        <v>10458</v>
      </c>
      <c r="AR63" s="125">
        <f>RCFs!C$35</f>
        <v>17.43</v>
      </c>
      <c r="AS63" s="110">
        <f t="shared" si="79"/>
        <v>13595.4</v>
      </c>
      <c r="AT63" s="110">
        <f t="shared" si="80"/>
        <v>25.2</v>
      </c>
      <c r="AU63" s="124">
        <f t="shared" si="81"/>
        <v>10254</v>
      </c>
      <c r="AV63" s="124">
        <f>RCFs!C$37</f>
        <v>17.09</v>
      </c>
      <c r="AW63" s="124">
        <f t="shared" si="91"/>
        <v>10275.6</v>
      </c>
      <c r="AX63" s="125">
        <f>RCFs!C$64</f>
        <v>17.125999999999998</v>
      </c>
      <c r="AY63" s="124">
        <f t="shared" si="82"/>
        <v>10470</v>
      </c>
      <c r="AZ63" s="125">
        <f>RCFs!C$39</f>
        <v>17.45</v>
      </c>
      <c r="BA63" s="124">
        <f t="shared" si="83"/>
        <v>10007.4</v>
      </c>
      <c r="BB63" s="125">
        <f>RCFs!C$41</f>
        <v>16.678999999999998</v>
      </c>
    </row>
    <row r="64" spans="1:54" s="67" customFormat="1" x14ac:dyDescent="0.2">
      <c r="A64" s="66">
        <v>1262</v>
      </c>
      <c r="B64" s="68" t="s">
        <v>191</v>
      </c>
      <c r="C64" s="46">
        <v>500</v>
      </c>
      <c r="D64" s="42">
        <f t="shared" si="84"/>
        <v>31991.599999999999</v>
      </c>
      <c r="E64" s="123">
        <f>RCFs!C$43</f>
        <v>63.983120993999997</v>
      </c>
      <c r="F64" s="124">
        <f t="shared" si="63"/>
        <v>8354</v>
      </c>
      <c r="G64" s="123">
        <f>RCFs!C$5</f>
        <v>16.707999999999998</v>
      </c>
      <c r="H64" s="124">
        <f t="shared" si="64"/>
        <v>8354</v>
      </c>
      <c r="I64" s="123">
        <f>RCFs!C$5</f>
        <v>16.707999999999998</v>
      </c>
      <c r="J64" s="111">
        <f t="shared" si="95"/>
        <v>9189.4</v>
      </c>
      <c r="K64" s="111">
        <f t="shared" si="95"/>
        <v>11445</v>
      </c>
      <c r="L64" s="111">
        <f t="shared" si="95"/>
        <v>12280.4</v>
      </c>
      <c r="M64" s="111">
        <f t="shared" si="95"/>
        <v>13533.5</v>
      </c>
      <c r="N64" s="111">
        <f t="shared" si="95"/>
        <v>16708</v>
      </c>
      <c r="O64" s="111">
        <f t="shared" si="95"/>
        <v>17961.099999999999</v>
      </c>
      <c r="P64" s="111">
        <f t="shared" si="95"/>
        <v>25062</v>
      </c>
      <c r="Q64" s="42">
        <f t="shared" si="66"/>
        <v>8225</v>
      </c>
      <c r="R64" s="125">
        <f>RCFs!C$7</f>
        <v>16.45</v>
      </c>
      <c r="S64" s="111">
        <f t="shared" si="96"/>
        <v>10692.5</v>
      </c>
      <c r="T64" s="111">
        <f t="shared" si="96"/>
        <v>12337.5</v>
      </c>
      <c r="U64" s="42">
        <f t="shared" si="68"/>
        <v>8096</v>
      </c>
      <c r="V64" s="125">
        <f>RCFs!C$9</f>
        <v>16.192</v>
      </c>
      <c r="W64" s="42">
        <f t="shared" si="87"/>
        <v>8096</v>
      </c>
      <c r="X64" s="125">
        <f t="shared" si="94"/>
        <v>16.192</v>
      </c>
      <c r="Y64" s="111">
        <f t="shared" si="70"/>
        <v>8905.6</v>
      </c>
      <c r="Z64" s="111">
        <f t="shared" si="97"/>
        <v>11091.5</v>
      </c>
      <c r="AA64" s="111">
        <f t="shared" si="97"/>
        <v>13115.5</v>
      </c>
      <c r="AB64" s="111">
        <f t="shared" si="97"/>
        <v>11901.1</v>
      </c>
      <c r="AC64" s="111">
        <f t="shared" si="97"/>
        <v>17568.3</v>
      </c>
      <c r="AD64" s="111">
        <f t="shared" si="97"/>
        <v>24288</v>
      </c>
      <c r="AE64" s="42">
        <f t="shared" si="89"/>
        <v>7760</v>
      </c>
      <c r="AF64" s="125">
        <f>RCFs!C$13</f>
        <v>15.52</v>
      </c>
      <c r="AG64" s="110">
        <f t="shared" si="98"/>
        <v>12804</v>
      </c>
      <c r="AH64" s="110">
        <f t="shared" si="98"/>
        <v>16296</v>
      </c>
      <c r="AI64" s="110">
        <f t="shared" si="98"/>
        <v>23280</v>
      </c>
      <c r="AJ64" s="42">
        <f t="shared" si="74"/>
        <v>8206.6</v>
      </c>
      <c r="AK64" s="125">
        <f>RCFs!C$25</f>
        <v>16.413333333333334</v>
      </c>
      <c r="AL64" s="42">
        <f t="shared" si="75"/>
        <v>11038.3</v>
      </c>
      <c r="AM64" s="125">
        <f>RCFs!C$29</f>
        <v>22.076666666666664</v>
      </c>
      <c r="AN64" s="42">
        <f t="shared" si="76"/>
        <v>8816.5</v>
      </c>
      <c r="AO64" s="125">
        <f>RCFs!C$33</f>
        <v>17.632999999999999</v>
      </c>
      <c r="AP64" s="110">
        <f t="shared" si="77"/>
        <v>13224.7</v>
      </c>
      <c r="AQ64" s="124">
        <f t="shared" si="78"/>
        <v>8715</v>
      </c>
      <c r="AR64" s="125">
        <f>RCFs!C$35</f>
        <v>17.43</v>
      </c>
      <c r="AS64" s="110">
        <f t="shared" si="79"/>
        <v>11329.5</v>
      </c>
      <c r="AT64" s="110">
        <f t="shared" si="80"/>
        <v>25.2</v>
      </c>
      <c r="AU64" s="124">
        <f t="shared" si="81"/>
        <v>8545</v>
      </c>
      <c r="AV64" s="124">
        <f>RCFs!C$37</f>
        <v>17.09</v>
      </c>
      <c r="AW64" s="124">
        <f t="shared" si="91"/>
        <v>8563</v>
      </c>
      <c r="AX64" s="125">
        <f>RCFs!C$64</f>
        <v>17.125999999999998</v>
      </c>
      <c r="AY64" s="124">
        <f t="shared" si="82"/>
        <v>8725</v>
      </c>
      <c r="AZ64" s="125">
        <f>RCFs!C$39</f>
        <v>17.45</v>
      </c>
      <c r="BA64" s="124">
        <f t="shared" si="83"/>
        <v>8339.5</v>
      </c>
      <c r="BB64" s="125">
        <f>RCFs!C$41</f>
        <v>16.678999999999998</v>
      </c>
    </row>
    <row r="65" spans="1:54" s="67" customFormat="1" x14ac:dyDescent="0.2">
      <c r="A65" s="66">
        <v>1276</v>
      </c>
      <c r="B65" s="68" t="s">
        <v>192</v>
      </c>
      <c r="C65" s="46">
        <v>260</v>
      </c>
      <c r="D65" s="42">
        <f t="shared" si="84"/>
        <v>16635.599999999999</v>
      </c>
      <c r="E65" s="123">
        <f>RCFs!C$43</f>
        <v>63.983120993999997</v>
      </c>
      <c r="F65" s="124">
        <f t="shared" si="63"/>
        <v>4344</v>
      </c>
      <c r="G65" s="123">
        <f>RCFs!C$5</f>
        <v>16.707999999999998</v>
      </c>
      <c r="H65" s="124">
        <f t="shared" si="64"/>
        <v>4344</v>
      </c>
      <c r="I65" s="123">
        <f>RCFs!C$5</f>
        <v>16.707999999999998</v>
      </c>
      <c r="J65" s="111">
        <f t="shared" si="95"/>
        <v>4778.5</v>
      </c>
      <c r="K65" s="111">
        <f t="shared" si="95"/>
        <v>5951.4</v>
      </c>
      <c r="L65" s="111">
        <f t="shared" si="95"/>
        <v>6385.8</v>
      </c>
      <c r="M65" s="111">
        <f t="shared" si="95"/>
        <v>7037.4</v>
      </c>
      <c r="N65" s="111">
        <f t="shared" si="95"/>
        <v>8688.2000000000007</v>
      </c>
      <c r="O65" s="111">
        <f t="shared" si="95"/>
        <v>9339.7999999999993</v>
      </c>
      <c r="P65" s="111">
        <f t="shared" si="95"/>
        <v>13032.2</v>
      </c>
      <c r="Q65" s="42">
        <f t="shared" si="66"/>
        <v>4277</v>
      </c>
      <c r="R65" s="125">
        <f>RCFs!C$7</f>
        <v>16.45</v>
      </c>
      <c r="S65" s="111">
        <f t="shared" si="96"/>
        <v>5560.1</v>
      </c>
      <c r="T65" s="111">
        <f t="shared" si="96"/>
        <v>6415.5</v>
      </c>
      <c r="U65" s="42">
        <f t="shared" si="68"/>
        <v>4209.8999999999996</v>
      </c>
      <c r="V65" s="125">
        <f>RCFs!C$9</f>
        <v>16.192</v>
      </c>
      <c r="W65" s="42">
        <f t="shared" si="87"/>
        <v>4209.8999999999996</v>
      </c>
      <c r="X65" s="125">
        <f t="shared" si="94"/>
        <v>16.192</v>
      </c>
      <c r="Y65" s="111">
        <f t="shared" si="70"/>
        <v>4630.8</v>
      </c>
      <c r="Z65" s="111">
        <f t="shared" si="97"/>
        <v>5767.6</v>
      </c>
      <c r="AA65" s="111">
        <f t="shared" si="97"/>
        <v>6820.1</v>
      </c>
      <c r="AB65" s="111">
        <f t="shared" si="97"/>
        <v>6188.6</v>
      </c>
      <c r="AC65" s="111">
        <f t="shared" si="97"/>
        <v>9135.5</v>
      </c>
      <c r="AD65" s="111">
        <f t="shared" si="97"/>
        <v>12629.8</v>
      </c>
      <c r="AE65" s="42">
        <f t="shared" si="89"/>
        <v>4035.2</v>
      </c>
      <c r="AF65" s="125">
        <f>RCFs!C$13</f>
        <v>15.52</v>
      </c>
      <c r="AG65" s="110">
        <f t="shared" si="98"/>
        <v>6658.1</v>
      </c>
      <c r="AH65" s="110">
        <f t="shared" si="98"/>
        <v>8473.9</v>
      </c>
      <c r="AI65" s="110">
        <f t="shared" si="98"/>
        <v>12105.6</v>
      </c>
      <c r="AJ65" s="42">
        <f t="shared" si="74"/>
        <v>4267.3999999999996</v>
      </c>
      <c r="AK65" s="125">
        <f>RCFs!C$25</f>
        <v>16.413333333333334</v>
      </c>
      <c r="AL65" s="42">
        <f t="shared" si="75"/>
        <v>5739.9</v>
      </c>
      <c r="AM65" s="125">
        <f>RCFs!C$29</f>
        <v>22.076666666666664</v>
      </c>
      <c r="AN65" s="42">
        <f t="shared" si="76"/>
        <v>4584.5</v>
      </c>
      <c r="AO65" s="125">
        <f>RCFs!C$33</f>
        <v>17.632999999999999</v>
      </c>
      <c r="AP65" s="110">
        <f t="shared" si="77"/>
        <v>6876.7</v>
      </c>
      <c r="AQ65" s="124">
        <f t="shared" si="78"/>
        <v>4531.8</v>
      </c>
      <c r="AR65" s="125">
        <f>RCFs!C$35</f>
        <v>17.43</v>
      </c>
      <c r="AS65" s="110">
        <f t="shared" si="79"/>
        <v>5891.3</v>
      </c>
      <c r="AT65" s="110">
        <f t="shared" si="80"/>
        <v>25.2</v>
      </c>
      <c r="AU65" s="124">
        <f t="shared" si="81"/>
        <v>4443.3999999999996</v>
      </c>
      <c r="AV65" s="124">
        <f>RCFs!C$37</f>
        <v>17.09</v>
      </c>
      <c r="AW65" s="124">
        <f t="shared" si="91"/>
        <v>4452.7</v>
      </c>
      <c r="AX65" s="125">
        <f>RCFs!C$64</f>
        <v>17.125999999999998</v>
      </c>
      <c r="AY65" s="124">
        <f t="shared" si="82"/>
        <v>4537</v>
      </c>
      <c r="AZ65" s="125">
        <f>RCFs!C$39</f>
        <v>17.45</v>
      </c>
      <c r="BA65" s="124">
        <f t="shared" si="83"/>
        <v>4336.5</v>
      </c>
      <c r="BB65" s="125">
        <f>RCFs!C$41</f>
        <v>16.678999999999998</v>
      </c>
    </row>
    <row r="66" spans="1:54" s="67" customFormat="1" x14ac:dyDescent="0.2">
      <c r="A66" s="66">
        <v>1286</v>
      </c>
      <c r="B66" s="68" t="s">
        <v>193</v>
      </c>
      <c r="C66" s="46">
        <v>100</v>
      </c>
      <c r="D66" s="42">
        <f t="shared" si="84"/>
        <v>6398.3</v>
      </c>
      <c r="E66" s="123">
        <f>RCFs!C$43</f>
        <v>63.983120993999997</v>
      </c>
      <c r="F66" s="124">
        <f t="shared" si="63"/>
        <v>1670.8</v>
      </c>
      <c r="G66" s="123">
        <f>RCFs!C$5</f>
        <v>16.707999999999998</v>
      </c>
      <c r="H66" s="124">
        <f t="shared" si="64"/>
        <v>1670.8</v>
      </c>
      <c r="I66" s="123">
        <f>RCFs!C$5</f>
        <v>16.707999999999998</v>
      </c>
      <c r="J66" s="111">
        <f t="shared" si="95"/>
        <v>1837.9</v>
      </c>
      <c r="K66" s="111">
        <f t="shared" si="95"/>
        <v>2289</v>
      </c>
      <c r="L66" s="111">
        <f t="shared" si="95"/>
        <v>2456.1</v>
      </c>
      <c r="M66" s="111">
        <f t="shared" si="95"/>
        <v>2706.7</v>
      </c>
      <c r="N66" s="111">
        <f t="shared" si="95"/>
        <v>3341.6</v>
      </c>
      <c r="O66" s="111">
        <f t="shared" si="95"/>
        <v>3592.2</v>
      </c>
      <c r="P66" s="111">
        <f t="shared" si="95"/>
        <v>5012.3999999999996</v>
      </c>
      <c r="Q66" s="42">
        <f t="shared" si="66"/>
        <v>1645</v>
      </c>
      <c r="R66" s="125">
        <f>RCFs!C$7</f>
        <v>16.45</v>
      </c>
      <c r="S66" s="111">
        <f t="shared" si="96"/>
        <v>2138.5</v>
      </c>
      <c r="T66" s="111">
        <f t="shared" si="96"/>
        <v>2467.5</v>
      </c>
      <c r="U66" s="42">
        <f t="shared" si="68"/>
        <v>1619.2</v>
      </c>
      <c r="V66" s="125">
        <f>RCFs!C$9</f>
        <v>16.192</v>
      </c>
      <c r="W66" s="42">
        <f t="shared" si="87"/>
        <v>1619.2</v>
      </c>
      <c r="X66" s="125">
        <f t="shared" si="94"/>
        <v>16.192</v>
      </c>
      <c r="Y66" s="111">
        <f t="shared" si="70"/>
        <v>1781.1</v>
      </c>
      <c r="Z66" s="111">
        <f t="shared" si="97"/>
        <v>2218.3000000000002</v>
      </c>
      <c r="AA66" s="111">
        <f t="shared" si="97"/>
        <v>2623.1</v>
      </c>
      <c r="AB66" s="111">
        <f t="shared" si="97"/>
        <v>2380.1999999999998</v>
      </c>
      <c r="AC66" s="111">
        <f t="shared" si="97"/>
        <v>3513.7</v>
      </c>
      <c r="AD66" s="111">
        <f t="shared" si="97"/>
        <v>4857.6000000000004</v>
      </c>
      <c r="AE66" s="42">
        <f t="shared" si="89"/>
        <v>1552</v>
      </c>
      <c r="AF66" s="125">
        <f>RCFs!C$13</f>
        <v>15.52</v>
      </c>
      <c r="AG66" s="110">
        <f t="shared" si="98"/>
        <v>2560.8000000000002</v>
      </c>
      <c r="AH66" s="110">
        <f t="shared" si="98"/>
        <v>3259.2</v>
      </c>
      <c r="AI66" s="110">
        <f t="shared" si="98"/>
        <v>4656</v>
      </c>
      <c r="AJ66" s="42">
        <f t="shared" si="74"/>
        <v>1641.3</v>
      </c>
      <c r="AK66" s="125">
        <f>RCFs!C$25</f>
        <v>16.413333333333334</v>
      </c>
      <c r="AL66" s="42">
        <f t="shared" si="75"/>
        <v>2207.6</v>
      </c>
      <c r="AM66" s="125">
        <f>RCFs!C$29</f>
        <v>22.076666666666664</v>
      </c>
      <c r="AN66" s="42">
        <f t="shared" si="76"/>
        <v>1763.3</v>
      </c>
      <c r="AO66" s="125">
        <f>RCFs!C$33</f>
        <v>17.632999999999999</v>
      </c>
      <c r="AP66" s="110">
        <f t="shared" si="77"/>
        <v>2644.9</v>
      </c>
      <c r="AQ66" s="124">
        <f t="shared" si="78"/>
        <v>1743</v>
      </c>
      <c r="AR66" s="125">
        <f>RCFs!C$35</f>
        <v>17.43</v>
      </c>
      <c r="AS66" s="110">
        <f t="shared" si="79"/>
        <v>2265.9</v>
      </c>
      <c r="AT66" s="110">
        <f t="shared" si="80"/>
        <v>25.2</v>
      </c>
      <c r="AU66" s="124">
        <f t="shared" si="81"/>
        <v>1709</v>
      </c>
      <c r="AV66" s="124">
        <f>RCFs!C$37</f>
        <v>17.09</v>
      </c>
      <c r="AW66" s="124">
        <f t="shared" si="91"/>
        <v>1712.6</v>
      </c>
      <c r="AX66" s="125">
        <f>RCFs!C$64</f>
        <v>17.125999999999998</v>
      </c>
      <c r="AY66" s="124">
        <f t="shared" si="82"/>
        <v>1745</v>
      </c>
      <c r="AZ66" s="125">
        <f>RCFs!C$39</f>
        <v>17.45</v>
      </c>
      <c r="BA66" s="124">
        <f t="shared" si="83"/>
        <v>1667.9</v>
      </c>
      <c r="BB66" s="125">
        <f>RCFs!C$41</f>
        <v>16.678999999999998</v>
      </c>
    </row>
    <row r="67" spans="1:54" s="67" customFormat="1" x14ac:dyDescent="0.2">
      <c r="A67" s="66" t="s">
        <v>36</v>
      </c>
      <c r="B67" s="68" t="s">
        <v>48</v>
      </c>
      <c r="C67" s="46">
        <v>48.75</v>
      </c>
      <c r="D67" s="42">
        <f t="shared" si="84"/>
        <v>3119.2</v>
      </c>
      <c r="E67" s="123">
        <f>RCFs!C$43</f>
        <v>63.983120993999997</v>
      </c>
      <c r="F67" s="124">
        <f t="shared" si="63"/>
        <v>814.5</v>
      </c>
      <c r="G67" s="123">
        <f>RCFs!C$5</f>
        <v>16.707999999999998</v>
      </c>
      <c r="H67" s="124">
        <f t="shared" si="64"/>
        <v>814.5</v>
      </c>
      <c r="I67" s="123">
        <f>RCFs!C$5</f>
        <v>16.707999999999998</v>
      </c>
      <c r="J67" s="111">
        <f t="shared" si="95"/>
        <v>896</v>
      </c>
      <c r="K67" s="111">
        <f t="shared" si="95"/>
        <v>1115.9000000000001</v>
      </c>
      <c r="L67" s="111">
        <f t="shared" si="95"/>
        <v>1197.3</v>
      </c>
      <c r="M67" s="111">
        <f t="shared" si="95"/>
        <v>1319.5</v>
      </c>
      <c r="N67" s="111">
        <f t="shared" si="95"/>
        <v>1629</v>
      </c>
      <c r="O67" s="111">
        <f t="shared" si="95"/>
        <v>1751.2</v>
      </c>
      <c r="P67" s="111">
        <f t="shared" si="95"/>
        <v>2443.5</v>
      </c>
      <c r="Q67" s="42">
        <f t="shared" si="66"/>
        <v>801.9</v>
      </c>
      <c r="R67" s="125">
        <f>RCFs!C$7</f>
        <v>16.45</v>
      </c>
      <c r="S67" s="111">
        <f t="shared" si="96"/>
        <v>1042.4000000000001</v>
      </c>
      <c r="T67" s="111">
        <f t="shared" si="96"/>
        <v>1202.8</v>
      </c>
      <c r="U67" s="42">
        <f t="shared" si="68"/>
        <v>789.4</v>
      </c>
      <c r="V67" s="125">
        <f>RCFs!C$9</f>
        <v>16.192</v>
      </c>
      <c r="W67" s="42">
        <f t="shared" si="87"/>
        <v>789.4</v>
      </c>
      <c r="X67" s="125">
        <f t="shared" si="94"/>
        <v>16.192</v>
      </c>
      <c r="Y67" s="111">
        <f t="shared" si="70"/>
        <v>868.3</v>
      </c>
      <c r="Z67" s="111">
        <f t="shared" si="97"/>
        <v>1081.4000000000001</v>
      </c>
      <c r="AA67" s="111">
        <f t="shared" si="97"/>
        <v>1278.8</v>
      </c>
      <c r="AB67" s="111">
        <f t="shared" si="97"/>
        <v>1160.4000000000001</v>
      </c>
      <c r="AC67" s="111">
        <f t="shared" si="97"/>
        <v>1712.9</v>
      </c>
      <c r="AD67" s="111">
        <f t="shared" si="97"/>
        <v>2368.1</v>
      </c>
      <c r="AE67" s="42">
        <f t="shared" si="89"/>
        <v>756.6</v>
      </c>
      <c r="AF67" s="125">
        <f>RCFs!C$13</f>
        <v>15.52</v>
      </c>
      <c r="AG67" s="110">
        <f t="shared" si="98"/>
        <v>1248.4000000000001</v>
      </c>
      <c r="AH67" s="110">
        <f t="shared" si="98"/>
        <v>1588.9</v>
      </c>
      <c r="AI67" s="110">
        <f t="shared" si="98"/>
        <v>2269.8000000000002</v>
      </c>
      <c r="AJ67" s="42">
        <f t="shared" si="74"/>
        <v>800.1</v>
      </c>
      <c r="AK67" s="125">
        <f>RCFs!C$25</f>
        <v>16.413333333333334</v>
      </c>
      <c r="AL67" s="42">
        <f t="shared" si="75"/>
        <v>1076.2</v>
      </c>
      <c r="AM67" s="125">
        <f>RCFs!C$29</f>
        <v>22.076666666666664</v>
      </c>
      <c r="AN67" s="42">
        <f t="shared" si="76"/>
        <v>859.6</v>
      </c>
      <c r="AO67" s="125">
        <f>RCFs!C$33</f>
        <v>17.632999999999999</v>
      </c>
      <c r="AP67" s="110">
        <f t="shared" si="77"/>
        <v>1289.4000000000001</v>
      </c>
      <c r="AQ67" s="124">
        <f t="shared" si="78"/>
        <v>849.7</v>
      </c>
      <c r="AR67" s="125">
        <f>RCFs!C$35</f>
        <v>17.43</v>
      </c>
      <c r="AS67" s="110">
        <f t="shared" si="79"/>
        <v>1104.5999999999999</v>
      </c>
      <c r="AT67" s="110">
        <f t="shared" si="80"/>
        <v>25.2</v>
      </c>
      <c r="AU67" s="124">
        <f t="shared" si="81"/>
        <v>833.1</v>
      </c>
      <c r="AV67" s="124">
        <f>RCFs!C$37</f>
        <v>17.09</v>
      </c>
      <c r="AW67" s="124">
        <f t="shared" si="91"/>
        <v>834.8</v>
      </c>
      <c r="AX67" s="125">
        <f>RCFs!C$64</f>
        <v>17.125999999999998</v>
      </c>
      <c r="AY67" s="124">
        <f t="shared" si="82"/>
        <v>850.6</v>
      </c>
      <c r="AZ67" s="125">
        <f>RCFs!C$39</f>
        <v>17.45</v>
      </c>
      <c r="BA67" s="124">
        <f t="shared" si="83"/>
        <v>813.1</v>
      </c>
      <c r="BB67" s="125">
        <f>RCFs!C$41</f>
        <v>16.678999999999998</v>
      </c>
    </row>
    <row r="68" spans="1:54" s="67" customFormat="1" x14ac:dyDescent="0.2">
      <c r="A68" s="66" t="s">
        <v>34</v>
      </c>
      <c r="B68" s="68" t="s">
        <v>49</v>
      </c>
      <c r="C68" s="46">
        <v>90</v>
      </c>
      <c r="D68" s="42">
        <f t="shared" si="84"/>
        <v>5758.5</v>
      </c>
      <c r="E68" s="123">
        <f>RCFs!C$43</f>
        <v>63.983120993999997</v>
      </c>
      <c r="F68" s="124">
        <f t="shared" si="63"/>
        <v>1503.7</v>
      </c>
      <c r="G68" s="123">
        <f>RCFs!C$5</f>
        <v>16.707999999999998</v>
      </c>
      <c r="H68" s="124">
        <f t="shared" si="64"/>
        <v>1503.7</v>
      </c>
      <c r="I68" s="123">
        <f>RCFs!C$5</f>
        <v>16.707999999999998</v>
      </c>
      <c r="J68" s="111">
        <f t="shared" si="95"/>
        <v>1654.1</v>
      </c>
      <c r="K68" s="111">
        <f t="shared" si="95"/>
        <v>2060.1</v>
      </c>
      <c r="L68" s="111">
        <f t="shared" si="95"/>
        <v>2210.5</v>
      </c>
      <c r="M68" s="111">
        <f t="shared" si="95"/>
        <v>2436</v>
      </c>
      <c r="N68" s="111">
        <f t="shared" si="95"/>
        <v>3007.4</v>
      </c>
      <c r="O68" s="111">
        <f t="shared" si="95"/>
        <v>3233</v>
      </c>
      <c r="P68" s="111">
        <f t="shared" si="95"/>
        <v>4511.2</v>
      </c>
      <c r="Q68" s="42">
        <f t="shared" si="66"/>
        <v>1480.5</v>
      </c>
      <c r="R68" s="125">
        <f>RCFs!C$7</f>
        <v>16.45</v>
      </c>
      <c r="S68" s="111">
        <f t="shared" si="96"/>
        <v>1924.6</v>
      </c>
      <c r="T68" s="111">
        <f t="shared" si="96"/>
        <v>2220.6999999999998</v>
      </c>
      <c r="U68" s="42">
        <f t="shared" si="68"/>
        <v>1457.3</v>
      </c>
      <c r="V68" s="125">
        <f>RCFs!C$9</f>
        <v>16.192</v>
      </c>
      <c r="W68" s="42">
        <f t="shared" si="87"/>
        <v>1457.3</v>
      </c>
      <c r="X68" s="125">
        <f t="shared" si="94"/>
        <v>16.192</v>
      </c>
      <c r="Y68" s="111">
        <f t="shared" si="70"/>
        <v>1603</v>
      </c>
      <c r="Z68" s="111">
        <f t="shared" si="97"/>
        <v>1996.5</v>
      </c>
      <c r="AA68" s="111">
        <f t="shared" si="97"/>
        <v>2360.8000000000002</v>
      </c>
      <c r="AB68" s="111">
        <f t="shared" si="97"/>
        <v>2142.1999999999998</v>
      </c>
      <c r="AC68" s="111">
        <f t="shared" si="97"/>
        <v>3162.3</v>
      </c>
      <c r="AD68" s="111">
        <f t="shared" si="97"/>
        <v>4371.8</v>
      </c>
      <c r="AE68" s="42">
        <f t="shared" si="89"/>
        <v>1396.8</v>
      </c>
      <c r="AF68" s="125">
        <f>RCFs!C$13</f>
        <v>15.52</v>
      </c>
      <c r="AG68" s="110">
        <f t="shared" si="98"/>
        <v>2304.6999999999998</v>
      </c>
      <c r="AH68" s="110">
        <f t="shared" si="98"/>
        <v>2933.3</v>
      </c>
      <c r="AI68" s="110">
        <f t="shared" si="98"/>
        <v>4190.3999999999996</v>
      </c>
      <c r="AJ68" s="42">
        <f t="shared" si="74"/>
        <v>1477.2</v>
      </c>
      <c r="AK68" s="125">
        <f>RCFs!C$25</f>
        <v>16.413333333333334</v>
      </c>
      <c r="AL68" s="42">
        <f t="shared" si="75"/>
        <v>1986.9</v>
      </c>
      <c r="AM68" s="125">
        <f>RCFs!C$29</f>
        <v>22.076666666666664</v>
      </c>
      <c r="AN68" s="42">
        <f t="shared" si="76"/>
        <v>1586.9</v>
      </c>
      <c r="AO68" s="125">
        <f>RCFs!C$33</f>
        <v>17.632999999999999</v>
      </c>
      <c r="AP68" s="110">
        <f t="shared" si="77"/>
        <v>2380.3000000000002</v>
      </c>
      <c r="AQ68" s="124">
        <f t="shared" si="78"/>
        <v>1568.7</v>
      </c>
      <c r="AR68" s="125">
        <f>RCFs!C$35</f>
        <v>17.43</v>
      </c>
      <c r="AS68" s="110">
        <f t="shared" si="79"/>
        <v>2039.3</v>
      </c>
      <c r="AT68" s="110">
        <f t="shared" si="80"/>
        <v>25.2</v>
      </c>
      <c r="AU68" s="124">
        <f t="shared" si="81"/>
        <v>1538.1</v>
      </c>
      <c r="AV68" s="124">
        <f>RCFs!C$37</f>
        <v>17.09</v>
      </c>
      <c r="AW68" s="124">
        <f t="shared" si="91"/>
        <v>1541.3</v>
      </c>
      <c r="AX68" s="125">
        <f>RCFs!C$64</f>
        <v>17.125999999999998</v>
      </c>
      <c r="AY68" s="124">
        <f t="shared" si="82"/>
        <v>1570.5</v>
      </c>
      <c r="AZ68" s="125">
        <f>RCFs!C$39</f>
        <v>17.45</v>
      </c>
      <c r="BA68" s="124">
        <f t="shared" si="83"/>
        <v>1501.1</v>
      </c>
      <c r="BB68" s="125">
        <f>RCFs!C$41</f>
        <v>16.678999999999998</v>
      </c>
    </row>
    <row r="69" spans="1:54" s="67" customFormat="1" ht="25.5" x14ac:dyDescent="0.2">
      <c r="A69" s="66">
        <v>1654</v>
      </c>
      <c r="B69" s="68" t="s">
        <v>194</v>
      </c>
      <c r="C69" s="46">
        <v>30</v>
      </c>
      <c r="D69" s="42">
        <f t="shared" si="84"/>
        <v>1919.5</v>
      </c>
      <c r="E69" s="123">
        <f>RCFs!C$43</f>
        <v>63.983120993999997</v>
      </c>
      <c r="F69" s="124">
        <f t="shared" si="63"/>
        <v>501.2</v>
      </c>
      <c r="G69" s="123">
        <f>RCFs!C$5</f>
        <v>16.707999999999998</v>
      </c>
      <c r="H69" s="124">
        <f t="shared" si="64"/>
        <v>501.2</v>
      </c>
      <c r="I69" s="123">
        <f>RCFs!C$5</f>
        <v>16.707999999999998</v>
      </c>
      <c r="J69" s="111">
        <f t="shared" si="95"/>
        <v>551.4</v>
      </c>
      <c r="K69" s="111">
        <f t="shared" si="95"/>
        <v>686.7</v>
      </c>
      <c r="L69" s="111">
        <f t="shared" si="95"/>
        <v>736.8</v>
      </c>
      <c r="M69" s="111">
        <f t="shared" si="95"/>
        <v>812</v>
      </c>
      <c r="N69" s="111">
        <f t="shared" si="95"/>
        <v>1002.5</v>
      </c>
      <c r="O69" s="111">
        <f t="shared" si="95"/>
        <v>1077.7</v>
      </c>
      <c r="P69" s="111">
        <f t="shared" si="95"/>
        <v>1503.7</v>
      </c>
      <c r="Q69" s="42">
        <f t="shared" si="66"/>
        <v>493.5</v>
      </c>
      <c r="R69" s="125">
        <f>RCFs!C$7</f>
        <v>16.45</v>
      </c>
      <c r="S69" s="111">
        <f t="shared" si="96"/>
        <v>641.5</v>
      </c>
      <c r="T69" s="111">
        <f t="shared" si="96"/>
        <v>740.2</v>
      </c>
      <c r="U69" s="42">
        <f t="shared" si="68"/>
        <v>485.8</v>
      </c>
      <c r="V69" s="125">
        <f>RCFs!C$9</f>
        <v>16.192</v>
      </c>
      <c r="W69" s="42">
        <f t="shared" si="87"/>
        <v>485.8</v>
      </c>
      <c r="X69" s="125">
        <f t="shared" si="94"/>
        <v>16.192</v>
      </c>
      <c r="Y69" s="111">
        <f t="shared" si="70"/>
        <v>534.29999999999995</v>
      </c>
      <c r="Z69" s="111">
        <f t="shared" si="97"/>
        <v>665.5</v>
      </c>
      <c r="AA69" s="111">
        <f t="shared" si="97"/>
        <v>786.9</v>
      </c>
      <c r="AB69" s="111">
        <f t="shared" si="97"/>
        <v>714.1</v>
      </c>
      <c r="AC69" s="111">
        <f t="shared" si="97"/>
        <v>1054.0999999999999</v>
      </c>
      <c r="AD69" s="111">
        <f t="shared" si="97"/>
        <v>1457.3</v>
      </c>
      <c r="AE69" s="42">
        <f t="shared" si="89"/>
        <v>465.6</v>
      </c>
      <c r="AF69" s="125">
        <f>RCFs!C$13</f>
        <v>15.52</v>
      </c>
      <c r="AG69" s="110">
        <f t="shared" si="98"/>
        <v>768.2</v>
      </c>
      <c r="AH69" s="110">
        <f t="shared" si="98"/>
        <v>977.8</v>
      </c>
      <c r="AI69" s="110">
        <f t="shared" si="98"/>
        <v>1396.8</v>
      </c>
      <c r="AJ69" s="42">
        <f t="shared" si="74"/>
        <v>492.4</v>
      </c>
      <c r="AK69" s="125">
        <f>RCFs!C$25</f>
        <v>16.413333333333334</v>
      </c>
      <c r="AL69" s="42">
        <f t="shared" si="75"/>
        <v>662.3</v>
      </c>
      <c r="AM69" s="125">
        <f>RCFs!C$29</f>
        <v>22.076666666666664</v>
      </c>
      <c r="AN69" s="42">
        <f t="shared" si="76"/>
        <v>528.9</v>
      </c>
      <c r="AO69" s="125">
        <f>RCFs!C$33</f>
        <v>17.632999999999999</v>
      </c>
      <c r="AP69" s="110">
        <f t="shared" si="77"/>
        <v>793.3</v>
      </c>
      <c r="AQ69" s="124">
        <f t="shared" si="78"/>
        <v>522.9</v>
      </c>
      <c r="AR69" s="125">
        <f>RCFs!C$35</f>
        <v>17.43</v>
      </c>
      <c r="AS69" s="110">
        <f t="shared" si="79"/>
        <v>679.7</v>
      </c>
      <c r="AT69" s="110">
        <f t="shared" si="80"/>
        <v>25.2</v>
      </c>
      <c r="AU69" s="124">
        <f t="shared" si="81"/>
        <v>512.70000000000005</v>
      </c>
      <c r="AV69" s="124">
        <f>RCFs!C$37</f>
        <v>17.09</v>
      </c>
      <c r="AW69" s="124">
        <f t="shared" si="91"/>
        <v>513.70000000000005</v>
      </c>
      <c r="AX69" s="125">
        <f>RCFs!C$64</f>
        <v>17.125999999999998</v>
      </c>
      <c r="AY69" s="124">
        <f t="shared" si="82"/>
        <v>523.5</v>
      </c>
      <c r="AZ69" s="125">
        <f>RCFs!C$39</f>
        <v>17.45</v>
      </c>
      <c r="BA69" s="124">
        <f t="shared" si="83"/>
        <v>500.3</v>
      </c>
      <c r="BB69" s="125">
        <f>RCFs!C$41</f>
        <v>16.678999999999998</v>
      </c>
    </row>
    <row r="70" spans="1:54" s="67" customFormat="1" x14ac:dyDescent="0.2">
      <c r="A70" s="66" t="s">
        <v>39</v>
      </c>
      <c r="B70" s="68" t="s">
        <v>50</v>
      </c>
      <c r="C70" s="46">
        <v>21</v>
      </c>
      <c r="D70" s="42">
        <f t="shared" si="84"/>
        <v>1343.6</v>
      </c>
      <c r="E70" s="123">
        <f>RCFs!C$43</f>
        <v>63.983120993999997</v>
      </c>
      <c r="F70" s="124">
        <f t="shared" si="63"/>
        <v>350.8</v>
      </c>
      <c r="G70" s="123">
        <f>RCFs!C$5</f>
        <v>16.707999999999998</v>
      </c>
      <c r="H70" s="124">
        <f t="shared" si="64"/>
        <v>350.8</v>
      </c>
      <c r="I70" s="123">
        <f>RCFs!C$5</f>
        <v>16.707999999999998</v>
      </c>
      <c r="J70" s="111">
        <f t="shared" si="95"/>
        <v>386</v>
      </c>
      <c r="K70" s="111">
        <f t="shared" si="95"/>
        <v>480.7</v>
      </c>
      <c r="L70" s="111">
        <f t="shared" si="95"/>
        <v>515.79999999999995</v>
      </c>
      <c r="M70" s="111">
        <f t="shared" si="95"/>
        <v>568.4</v>
      </c>
      <c r="N70" s="111">
        <f t="shared" si="95"/>
        <v>701.7</v>
      </c>
      <c r="O70" s="111">
        <f t="shared" si="95"/>
        <v>754.4</v>
      </c>
      <c r="P70" s="111">
        <f t="shared" si="95"/>
        <v>1052.5999999999999</v>
      </c>
      <c r="Q70" s="42">
        <f t="shared" si="66"/>
        <v>345.4</v>
      </c>
      <c r="R70" s="125">
        <f>RCFs!C$7</f>
        <v>16.45</v>
      </c>
      <c r="S70" s="111">
        <f t="shared" si="96"/>
        <v>449</v>
      </c>
      <c r="T70" s="111">
        <f t="shared" si="96"/>
        <v>518.1</v>
      </c>
      <c r="U70" s="42">
        <f t="shared" si="68"/>
        <v>340</v>
      </c>
      <c r="V70" s="125">
        <f>RCFs!C$9</f>
        <v>16.192</v>
      </c>
      <c r="W70" s="42">
        <f t="shared" si="87"/>
        <v>340</v>
      </c>
      <c r="X70" s="125">
        <f t="shared" si="94"/>
        <v>16.192</v>
      </c>
      <c r="Y70" s="111">
        <f t="shared" si="70"/>
        <v>374</v>
      </c>
      <c r="Z70" s="111">
        <f t="shared" si="97"/>
        <v>465.8</v>
      </c>
      <c r="AA70" s="111">
        <f t="shared" si="97"/>
        <v>550.9</v>
      </c>
      <c r="AB70" s="111">
        <f t="shared" si="97"/>
        <v>499.8</v>
      </c>
      <c r="AC70" s="111">
        <f t="shared" si="97"/>
        <v>737.9</v>
      </c>
      <c r="AD70" s="111">
        <f t="shared" si="97"/>
        <v>1020.1</v>
      </c>
      <c r="AE70" s="42">
        <f t="shared" si="89"/>
        <v>325.89999999999998</v>
      </c>
      <c r="AF70" s="125">
        <f>RCFs!C$13</f>
        <v>15.52</v>
      </c>
      <c r="AG70" s="110">
        <f t="shared" si="98"/>
        <v>537.70000000000005</v>
      </c>
      <c r="AH70" s="110">
        <f t="shared" si="98"/>
        <v>684.4</v>
      </c>
      <c r="AI70" s="110">
        <f t="shared" si="98"/>
        <v>977.7</v>
      </c>
      <c r="AJ70" s="42">
        <f t="shared" si="74"/>
        <v>344.6</v>
      </c>
      <c r="AK70" s="125">
        <f>RCFs!C$25</f>
        <v>16.413333333333334</v>
      </c>
      <c r="AL70" s="42">
        <f t="shared" si="75"/>
        <v>463.6</v>
      </c>
      <c r="AM70" s="125">
        <f>RCFs!C$29</f>
        <v>22.076666666666664</v>
      </c>
      <c r="AN70" s="42">
        <f t="shared" si="76"/>
        <v>370.2</v>
      </c>
      <c r="AO70" s="125">
        <f>RCFs!C$33</f>
        <v>17.632999999999999</v>
      </c>
      <c r="AP70" s="110">
        <f t="shared" si="77"/>
        <v>555.29999999999995</v>
      </c>
      <c r="AQ70" s="124">
        <f t="shared" si="78"/>
        <v>366</v>
      </c>
      <c r="AR70" s="125">
        <f>RCFs!C$35</f>
        <v>17.43</v>
      </c>
      <c r="AS70" s="110">
        <f t="shared" si="79"/>
        <v>475.8</v>
      </c>
      <c r="AT70" s="110">
        <f t="shared" si="80"/>
        <v>25.2</v>
      </c>
      <c r="AU70" s="124">
        <f t="shared" si="81"/>
        <v>358.8</v>
      </c>
      <c r="AV70" s="124">
        <f>RCFs!C$37</f>
        <v>17.09</v>
      </c>
      <c r="AW70" s="124">
        <f t="shared" si="91"/>
        <v>359.6</v>
      </c>
      <c r="AX70" s="125">
        <f>RCFs!C$64</f>
        <v>17.125999999999998</v>
      </c>
      <c r="AY70" s="124">
        <f t="shared" si="82"/>
        <v>366.4</v>
      </c>
      <c r="AZ70" s="125">
        <f>RCFs!C$39</f>
        <v>17.45</v>
      </c>
      <c r="BA70" s="124">
        <f t="shared" si="83"/>
        <v>350.2</v>
      </c>
      <c r="BB70" s="125">
        <f>RCFs!C$41</f>
        <v>16.678999999999998</v>
      </c>
    </row>
    <row r="71" spans="1:54" s="67" customFormat="1" ht="38.25" x14ac:dyDescent="0.2">
      <c r="A71" s="66">
        <v>1849</v>
      </c>
      <c r="B71" s="68" t="s">
        <v>195</v>
      </c>
      <c r="C71" s="46">
        <v>168</v>
      </c>
      <c r="D71" s="42">
        <f t="shared" si="84"/>
        <v>10749.2</v>
      </c>
      <c r="E71" s="123">
        <f>RCFs!C$43</f>
        <v>63.983120993999997</v>
      </c>
      <c r="F71" s="124">
        <f t="shared" si="63"/>
        <v>2806.9</v>
      </c>
      <c r="G71" s="123">
        <f>RCFs!C$5</f>
        <v>16.707999999999998</v>
      </c>
      <c r="H71" s="124">
        <f t="shared" si="64"/>
        <v>2806.9</v>
      </c>
      <c r="I71" s="123">
        <f>RCFs!C$5</f>
        <v>16.707999999999998</v>
      </c>
      <c r="J71" s="111">
        <f t="shared" ref="J71:P80" si="99">ROUND($C71*$I71*J$6,1)</f>
        <v>3087.6</v>
      </c>
      <c r="K71" s="111">
        <f t="shared" si="99"/>
        <v>3845.5</v>
      </c>
      <c r="L71" s="111">
        <f t="shared" si="99"/>
        <v>4126.2</v>
      </c>
      <c r="M71" s="111">
        <f t="shared" si="99"/>
        <v>4547.2</v>
      </c>
      <c r="N71" s="111">
        <f t="shared" si="99"/>
        <v>5613.9</v>
      </c>
      <c r="O71" s="111">
        <f t="shared" si="99"/>
        <v>6034.9</v>
      </c>
      <c r="P71" s="111">
        <f t="shared" si="99"/>
        <v>8420.7999999999993</v>
      </c>
      <c r="Q71" s="42">
        <f t="shared" si="66"/>
        <v>2763.6</v>
      </c>
      <c r="R71" s="125">
        <f>RCFs!C$7</f>
        <v>16.45</v>
      </c>
      <c r="S71" s="111">
        <f t="shared" si="96"/>
        <v>3592.6</v>
      </c>
      <c r="T71" s="111">
        <f t="shared" si="96"/>
        <v>4145.3999999999996</v>
      </c>
      <c r="U71" s="42">
        <f t="shared" si="68"/>
        <v>2720.3</v>
      </c>
      <c r="V71" s="125">
        <f>RCFs!C$9</f>
        <v>16.192</v>
      </c>
      <c r="W71" s="42">
        <f t="shared" si="87"/>
        <v>2720.3</v>
      </c>
      <c r="X71" s="125">
        <f t="shared" si="94"/>
        <v>16.192</v>
      </c>
      <c r="Y71" s="111">
        <f t="shared" si="70"/>
        <v>2992.3</v>
      </c>
      <c r="Z71" s="111">
        <f t="shared" ref="Z71:AD80" si="100">ROUND($C71*$X71*Z$6,1)</f>
        <v>3726.8</v>
      </c>
      <c r="AA71" s="111">
        <f t="shared" si="100"/>
        <v>4406.8</v>
      </c>
      <c r="AB71" s="111">
        <f t="shared" si="100"/>
        <v>3998.8</v>
      </c>
      <c r="AC71" s="111">
        <f t="shared" si="100"/>
        <v>5903</v>
      </c>
      <c r="AD71" s="111">
        <f t="shared" si="100"/>
        <v>8160.8</v>
      </c>
      <c r="AE71" s="42">
        <f t="shared" si="89"/>
        <v>2607.4</v>
      </c>
      <c r="AF71" s="125">
        <f>RCFs!C$13</f>
        <v>15.52</v>
      </c>
      <c r="AG71" s="110">
        <f t="shared" si="98"/>
        <v>4302.2</v>
      </c>
      <c r="AH71" s="110">
        <f t="shared" si="98"/>
        <v>5475.5</v>
      </c>
      <c r="AI71" s="110">
        <f t="shared" si="98"/>
        <v>7822.2</v>
      </c>
      <c r="AJ71" s="42">
        <f t="shared" si="74"/>
        <v>2757.4</v>
      </c>
      <c r="AK71" s="125">
        <f>RCFs!C$25</f>
        <v>16.413333333333334</v>
      </c>
      <c r="AL71" s="42">
        <f t="shared" si="75"/>
        <v>3708.8</v>
      </c>
      <c r="AM71" s="125">
        <f>RCFs!C$29</f>
        <v>22.076666666666664</v>
      </c>
      <c r="AN71" s="42">
        <f t="shared" si="76"/>
        <v>2962.3</v>
      </c>
      <c r="AO71" s="125">
        <f>RCFs!C$33</f>
        <v>17.632999999999999</v>
      </c>
      <c r="AP71" s="110">
        <f t="shared" si="77"/>
        <v>4443.3999999999996</v>
      </c>
      <c r="AQ71" s="124">
        <f t="shared" si="78"/>
        <v>2928.2</v>
      </c>
      <c r="AR71" s="125">
        <f>RCFs!C$35</f>
        <v>17.43</v>
      </c>
      <c r="AS71" s="110">
        <f t="shared" si="79"/>
        <v>3806.6</v>
      </c>
      <c r="AT71" s="110">
        <f t="shared" si="80"/>
        <v>25.2</v>
      </c>
      <c r="AU71" s="124">
        <f t="shared" si="81"/>
        <v>2871.1</v>
      </c>
      <c r="AV71" s="124">
        <f>RCFs!C$37</f>
        <v>17.09</v>
      </c>
      <c r="AW71" s="124">
        <f t="shared" si="91"/>
        <v>2877.1</v>
      </c>
      <c r="AX71" s="125">
        <f>RCFs!C$64</f>
        <v>17.125999999999998</v>
      </c>
      <c r="AY71" s="124">
        <f t="shared" si="82"/>
        <v>2931.6</v>
      </c>
      <c r="AZ71" s="125">
        <f>RCFs!C$39</f>
        <v>17.45</v>
      </c>
      <c r="BA71" s="124">
        <f t="shared" si="83"/>
        <v>2802</v>
      </c>
      <c r="BB71" s="125">
        <f>RCFs!C$41</f>
        <v>16.678999999999998</v>
      </c>
    </row>
    <row r="72" spans="1:54" s="67" customFormat="1" x14ac:dyDescent="0.2">
      <c r="A72" s="66" t="s">
        <v>30</v>
      </c>
      <c r="B72" s="68" t="s">
        <v>51</v>
      </c>
      <c r="C72" s="46">
        <v>55</v>
      </c>
      <c r="D72" s="42">
        <f t="shared" si="84"/>
        <v>3519.1</v>
      </c>
      <c r="E72" s="123">
        <f>RCFs!C$43</f>
        <v>63.983120993999997</v>
      </c>
      <c r="F72" s="124">
        <f t="shared" si="63"/>
        <v>918.9</v>
      </c>
      <c r="G72" s="123">
        <f>RCFs!C$5</f>
        <v>16.707999999999998</v>
      </c>
      <c r="H72" s="124">
        <f t="shared" si="64"/>
        <v>918.9</v>
      </c>
      <c r="I72" s="123">
        <f>RCFs!C$5</f>
        <v>16.707999999999998</v>
      </c>
      <c r="J72" s="111">
        <f t="shared" si="99"/>
        <v>1010.8</v>
      </c>
      <c r="K72" s="111">
        <f t="shared" si="99"/>
        <v>1258.9000000000001</v>
      </c>
      <c r="L72" s="111">
        <f t="shared" si="99"/>
        <v>1350.8</v>
      </c>
      <c r="M72" s="111">
        <f t="shared" si="99"/>
        <v>1488.7</v>
      </c>
      <c r="N72" s="111">
        <f t="shared" si="99"/>
        <v>1837.9</v>
      </c>
      <c r="O72" s="111">
        <f t="shared" si="99"/>
        <v>1975.7</v>
      </c>
      <c r="P72" s="111">
        <f t="shared" si="99"/>
        <v>2756.8</v>
      </c>
      <c r="Q72" s="42">
        <f t="shared" si="66"/>
        <v>904.7</v>
      </c>
      <c r="R72" s="125">
        <f>RCFs!C$7</f>
        <v>16.45</v>
      </c>
      <c r="S72" s="111">
        <f t="shared" si="96"/>
        <v>1176.0999999999999</v>
      </c>
      <c r="T72" s="111">
        <f t="shared" si="96"/>
        <v>1357</v>
      </c>
      <c r="U72" s="42">
        <f t="shared" si="68"/>
        <v>890.6</v>
      </c>
      <c r="V72" s="125">
        <f>RCFs!C$9</f>
        <v>16.192</v>
      </c>
      <c r="W72" s="42">
        <f t="shared" si="87"/>
        <v>890.6</v>
      </c>
      <c r="X72" s="125">
        <f t="shared" si="94"/>
        <v>16.192</v>
      </c>
      <c r="Y72" s="111">
        <f t="shared" si="70"/>
        <v>979.6</v>
      </c>
      <c r="Z72" s="111">
        <f t="shared" si="100"/>
        <v>1220.0999999999999</v>
      </c>
      <c r="AA72" s="111">
        <f t="shared" si="100"/>
        <v>1442.7</v>
      </c>
      <c r="AB72" s="111">
        <f t="shared" si="100"/>
        <v>1309.0999999999999</v>
      </c>
      <c r="AC72" s="111">
        <f t="shared" si="100"/>
        <v>1932.5</v>
      </c>
      <c r="AD72" s="111">
        <f t="shared" si="100"/>
        <v>2671.7</v>
      </c>
      <c r="AE72" s="42">
        <f t="shared" si="89"/>
        <v>853.6</v>
      </c>
      <c r="AF72" s="125">
        <f>RCFs!C$13</f>
        <v>15.52</v>
      </c>
      <c r="AG72" s="110">
        <f t="shared" si="98"/>
        <v>1408.4</v>
      </c>
      <c r="AH72" s="110">
        <f t="shared" si="98"/>
        <v>1792.6</v>
      </c>
      <c r="AI72" s="110">
        <f t="shared" si="98"/>
        <v>2560.8000000000002</v>
      </c>
      <c r="AJ72" s="42">
        <f t="shared" si="74"/>
        <v>902.7</v>
      </c>
      <c r="AK72" s="125">
        <f>RCFs!C$25</f>
        <v>16.413333333333334</v>
      </c>
      <c r="AL72" s="42">
        <f t="shared" si="75"/>
        <v>1214.2</v>
      </c>
      <c r="AM72" s="125">
        <f>RCFs!C$29</f>
        <v>22.076666666666664</v>
      </c>
      <c r="AN72" s="42">
        <f t="shared" si="76"/>
        <v>969.8</v>
      </c>
      <c r="AO72" s="125">
        <f>RCFs!C$33</f>
        <v>17.632999999999999</v>
      </c>
      <c r="AP72" s="110">
        <f t="shared" si="77"/>
        <v>1454.7</v>
      </c>
      <c r="AQ72" s="124">
        <f t="shared" si="78"/>
        <v>958.6</v>
      </c>
      <c r="AR72" s="125">
        <f>RCFs!C$35</f>
        <v>17.43</v>
      </c>
      <c r="AS72" s="110">
        <f t="shared" si="79"/>
        <v>1246.0999999999999</v>
      </c>
      <c r="AT72" s="110">
        <f t="shared" si="80"/>
        <v>25.2</v>
      </c>
      <c r="AU72" s="124">
        <f t="shared" si="81"/>
        <v>939.9</v>
      </c>
      <c r="AV72" s="124">
        <f>RCFs!C$37</f>
        <v>17.09</v>
      </c>
      <c r="AW72" s="124">
        <f t="shared" si="91"/>
        <v>941.9</v>
      </c>
      <c r="AX72" s="125">
        <f>RCFs!C$64</f>
        <v>17.125999999999998</v>
      </c>
      <c r="AY72" s="124">
        <f t="shared" si="82"/>
        <v>959.7</v>
      </c>
      <c r="AZ72" s="125">
        <f>RCFs!C$39</f>
        <v>17.45</v>
      </c>
      <c r="BA72" s="124">
        <f t="shared" si="83"/>
        <v>917.3</v>
      </c>
      <c r="BB72" s="125">
        <f>RCFs!C$41</f>
        <v>16.678999999999998</v>
      </c>
    </row>
    <row r="73" spans="1:54" s="67" customFormat="1" x14ac:dyDescent="0.2">
      <c r="A73" s="66">
        <v>1852</v>
      </c>
      <c r="B73" s="68" t="s">
        <v>196</v>
      </c>
      <c r="C73" s="46">
        <v>33</v>
      </c>
      <c r="D73" s="42">
        <f t="shared" si="84"/>
        <v>2111.4</v>
      </c>
      <c r="E73" s="123">
        <f>RCFs!C$43</f>
        <v>63.983120993999997</v>
      </c>
      <c r="F73" s="124">
        <f t="shared" si="63"/>
        <v>551.29999999999995</v>
      </c>
      <c r="G73" s="123">
        <f>RCFs!C$5</f>
        <v>16.707999999999998</v>
      </c>
      <c r="H73" s="124">
        <f t="shared" si="64"/>
        <v>551.29999999999995</v>
      </c>
      <c r="I73" s="123">
        <f>RCFs!C$5</f>
        <v>16.707999999999998</v>
      </c>
      <c r="J73" s="111">
        <f t="shared" si="99"/>
        <v>606.5</v>
      </c>
      <c r="K73" s="111">
        <f t="shared" si="99"/>
        <v>755.4</v>
      </c>
      <c r="L73" s="111">
        <f t="shared" si="99"/>
        <v>810.5</v>
      </c>
      <c r="M73" s="111">
        <f t="shared" si="99"/>
        <v>893.2</v>
      </c>
      <c r="N73" s="111">
        <f t="shared" si="99"/>
        <v>1102.7</v>
      </c>
      <c r="O73" s="111">
        <f t="shared" si="99"/>
        <v>1185.4000000000001</v>
      </c>
      <c r="P73" s="111">
        <f t="shared" si="99"/>
        <v>1654.1</v>
      </c>
      <c r="Q73" s="42">
        <f t="shared" si="66"/>
        <v>542.79999999999995</v>
      </c>
      <c r="R73" s="125">
        <f>RCFs!C$7</f>
        <v>16.45</v>
      </c>
      <c r="S73" s="111">
        <f t="shared" si="96"/>
        <v>705.6</v>
      </c>
      <c r="T73" s="111">
        <f t="shared" si="96"/>
        <v>814.2</v>
      </c>
      <c r="U73" s="42">
        <f t="shared" si="68"/>
        <v>534.29999999999995</v>
      </c>
      <c r="V73" s="125">
        <f>RCFs!C$9</f>
        <v>16.192</v>
      </c>
      <c r="W73" s="42">
        <f t="shared" si="87"/>
        <v>534.29999999999995</v>
      </c>
      <c r="X73" s="125">
        <f t="shared" si="94"/>
        <v>16.192</v>
      </c>
      <c r="Y73" s="111">
        <f t="shared" si="70"/>
        <v>587.70000000000005</v>
      </c>
      <c r="Z73" s="111">
        <f t="shared" si="100"/>
        <v>732</v>
      </c>
      <c r="AA73" s="111">
        <f t="shared" si="100"/>
        <v>865.6</v>
      </c>
      <c r="AB73" s="111">
        <f t="shared" si="100"/>
        <v>785.5</v>
      </c>
      <c r="AC73" s="111">
        <f t="shared" si="100"/>
        <v>1159.5</v>
      </c>
      <c r="AD73" s="111">
        <f t="shared" si="100"/>
        <v>1603</v>
      </c>
      <c r="AE73" s="42">
        <f t="shared" si="89"/>
        <v>512.20000000000005</v>
      </c>
      <c r="AF73" s="125">
        <f>RCFs!C$13</f>
        <v>15.52</v>
      </c>
      <c r="AG73" s="110">
        <f t="shared" si="98"/>
        <v>845.1</v>
      </c>
      <c r="AH73" s="110">
        <f t="shared" si="98"/>
        <v>1075.5999999999999</v>
      </c>
      <c r="AI73" s="110">
        <f t="shared" si="98"/>
        <v>1536.6</v>
      </c>
      <c r="AJ73" s="42">
        <f t="shared" si="74"/>
        <v>541.6</v>
      </c>
      <c r="AK73" s="125">
        <f>RCFs!C$25</f>
        <v>16.413333333333334</v>
      </c>
      <c r="AL73" s="42">
        <f t="shared" si="75"/>
        <v>728.5</v>
      </c>
      <c r="AM73" s="125">
        <f>RCFs!C$29</f>
        <v>22.076666666666664</v>
      </c>
      <c r="AN73" s="42">
        <f t="shared" si="76"/>
        <v>581.79999999999995</v>
      </c>
      <c r="AO73" s="125">
        <f>RCFs!C$33</f>
        <v>17.632999999999999</v>
      </c>
      <c r="AP73" s="110">
        <f t="shared" si="77"/>
        <v>872.7</v>
      </c>
      <c r="AQ73" s="124">
        <f t="shared" si="78"/>
        <v>575.1</v>
      </c>
      <c r="AR73" s="125">
        <f>RCFs!C$35</f>
        <v>17.43</v>
      </c>
      <c r="AS73" s="110">
        <f t="shared" si="79"/>
        <v>747.6</v>
      </c>
      <c r="AT73" s="110">
        <f t="shared" si="80"/>
        <v>25.2</v>
      </c>
      <c r="AU73" s="124">
        <f t="shared" si="81"/>
        <v>563.9</v>
      </c>
      <c r="AV73" s="124">
        <f>RCFs!C$37</f>
        <v>17.09</v>
      </c>
      <c r="AW73" s="124">
        <f t="shared" si="91"/>
        <v>565.1</v>
      </c>
      <c r="AX73" s="125">
        <f>RCFs!C$64</f>
        <v>17.125999999999998</v>
      </c>
      <c r="AY73" s="124">
        <f t="shared" si="82"/>
        <v>575.79999999999995</v>
      </c>
      <c r="AZ73" s="125">
        <f>RCFs!C$39</f>
        <v>17.45</v>
      </c>
      <c r="BA73" s="124">
        <f t="shared" si="83"/>
        <v>550.4</v>
      </c>
      <c r="BB73" s="125">
        <f>RCFs!C$41</f>
        <v>16.678999999999998</v>
      </c>
    </row>
    <row r="74" spans="1:54" s="67" customFormat="1" ht="25.5" x14ac:dyDescent="0.2">
      <c r="A74" s="66">
        <v>3604</v>
      </c>
      <c r="B74" s="68" t="s">
        <v>197</v>
      </c>
      <c r="C74" s="46">
        <v>77</v>
      </c>
      <c r="D74" s="42">
        <f t="shared" si="84"/>
        <v>4926.7</v>
      </c>
      <c r="E74" s="123">
        <f>RCFs!C$43</f>
        <v>63.983120993999997</v>
      </c>
      <c r="F74" s="124">
        <f t="shared" si="63"/>
        <v>1286.5</v>
      </c>
      <c r="G74" s="123">
        <f>RCFs!C$5</f>
        <v>16.707999999999998</v>
      </c>
      <c r="H74" s="124">
        <f t="shared" si="64"/>
        <v>1286.5</v>
      </c>
      <c r="I74" s="123">
        <f>RCFs!C$5</f>
        <v>16.707999999999998</v>
      </c>
      <c r="J74" s="111">
        <f t="shared" si="99"/>
        <v>1415.2</v>
      </c>
      <c r="K74" s="111">
        <f t="shared" si="99"/>
        <v>1762.5</v>
      </c>
      <c r="L74" s="111">
        <f t="shared" si="99"/>
        <v>1891.2</v>
      </c>
      <c r="M74" s="111">
        <f t="shared" si="99"/>
        <v>2084.1999999999998</v>
      </c>
      <c r="N74" s="111">
        <f t="shared" si="99"/>
        <v>2573</v>
      </c>
      <c r="O74" s="111">
        <f t="shared" si="99"/>
        <v>2766</v>
      </c>
      <c r="P74" s="111">
        <f t="shared" si="99"/>
        <v>3859.5</v>
      </c>
      <c r="Q74" s="42">
        <f t="shared" si="66"/>
        <v>1266.5999999999999</v>
      </c>
      <c r="R74" s="125">
        <f>RCFs!C$7</f>
        <v>16.45</v>
      </c>
      <c r="S74" s="111">
        <f t="shared" si="96"/>
        <v>1646.5</v>
      </c>
      <c r="T74" s="111">
        <f t="shared" si="96"/>
        <v>1899.9</v>
      </c>
      <c r="U74" s="42">
        <f t="shared" si="68"/>
        <v>1246.8</v>
      </c>
      <c r="V74" s="125">
        <f>RCFs!C$9</f>
        <v>16.192</v>
      </c>
      <c r="W74" s="42">
        <f t="shared" si="87"/>
        <v>1246.8</v>
      </c>
      <c r="X74" s="125">
        <f t="shared" si="94"/>
        <v>16.192</v>
      </c>
      <c r="Y74" s="111">
        <f t="shared" si="70"/>
        <v>1371.4</v>
      </c>
      <c r="Z74" s="111">
        <f t="shared" si="100"/>
        <v>1708.1</v>
      </c>
      <c r="AA74" s="111">
        <f t="shared" si="100"/>
        <v>2019.8</v>
      </c>
      <c r="AB74" s="111">
        <f t="shared" si="100"/>
        <v>1832.8</v>
      </c>
      <c r="AC74" s="111">
        <f t="shared" si="100"/>
        <v>2705.5</v>
      </c>
      <c r="AD74" s="111">
        <f t="shared" si="100"/>
        <v>3740.4</v>
      </c>
      <c r="AE74" s="42">
        <f t="shared" si="89"/>
        <v>1195</v>
      </c>
      <c r="AF74" s="125">
        <f>RCFs!C$13</f>
        <v>15.52</v>
      </c>
      <c r="AG74" s="110">
        <f t="shared" si="98"/>
        <v>1971.8</v>
      </c>
      <c r="AH74" s="110">
        <f t="shared" si="98"/>
        <v>2509.5</v>
      </c>
      <c r="AI74" s="110">
        <f t="shared" si="98"/>
        <v>3585</v>
      </c>
      <c r="AJ74" s="42">
        <f t="shared" si="74"/>
        <v>1263.8</v>
      </c>
      <c r="AK74" s="125">
        <f>RCFs!C$25</f>
        <v>16.413333333333334</v>
      </c>
      <c r="AL74" s="42">
        <f t="shared" si="75"/>
        <v>1699.9</v>
      </c>
      <c r="AM74" s="125">
        <f>RCFs!C$29</f>
        <v>22.076666666666664</v>
      </c>
      <c r="AN74" s="42">
        <f t="shared" si="76"/>
        <v>1357.7</v>
      </c>
      <c r="AO74" s="125">
        <f>RCFs!C$33</f>
        <v>17.632999999999999</v>
      </c>
      <c r="AP74" s="110">
        <f t="shared" si="77"/>
        <v>2036.5</v>
      </c>
      <c r="AQ74" s="124">
        <f t="shared" si="78"/>
        <v>1342.1</v>
      </c>
      <c r="AR74" s="125">
        <f>RCFs!C$35</f>
        <v>17.43</v>
      </c>
      <c r="AS74" s="110">
        <f t="shared" si="79"/>
        <v>1744.7</v>
      </c>
      <c r="AT74" s="110">
        <f t="shared" si="80"/>
        <v>25.2</v>
      </c>
      <c r="AU74" s="124">
        <f t="shared" si="81"/>
        <v>1315.9</v>
      </c>
      <c r="AV74" s="124">
        <f>RCFs!C$37</f>
        <v>17.09</v>
      </c>
      <c r="AW74" s="124">
        <f t="shared" si="91"/>
        <v>1318.7</v>
      </c>
      <c r="AX74" s="125">
        <f>RCFs!C$64</f>
        <v>17.125999999999998</v>
      </c>
      <c r="AY74" s="124">
        <f t="shared" si="82"/>
        <v>1343.6</v>
      </c>
      <c r="AZ74" s="125">
        <f>RCFs!C$39</f>
        <v>17.45</v>
      </c>
      <c r="BA74" s="124">
        <f t="shared" si="83"/>
        <v>1284.2</v>
      </c>
      <c r="BB74" s="125">
        <f>RCFs!C$41</f>
        <v>16.678999999999998</v>
      </c>
    </row>
    <row r="75" spans="1:54" s="67" customFormat="1" x14ac:dyDescent="0.2">
      <c r="A75" s="69" t="s">
        <v>208</v>
      </c>
      <c r="B75" s="68" t="s">
        <v>52</v>
      </c>
      <c r="C75" s="46">
        <v>50</v>
      </c>
      <c r="D75" s="70">
        <f t="shared" si="84"/>
        <v>794.9</v>
      </c>
      <c r="E75" s="71">
        <f>BB75</f>
        <v>15.898</v>
      </c>
      <c r="F75" s="124">
        <f t="shared" si="63"/>
        <v>796.2</v>
      </c>
      <c r="G75" s="123">
        <f>RCFs!F$5</f>
        <v>15.925000000000001</v>
      </c>
      <c r="H75" s="124">
        <f t="shared" si="64"/>
        <v>796.2</v>
      </c>
      <c r="I75" s="123">
        <f>RCFs!F$5</f>
        <v>15.925000000000001</v>
      </c>
      <c r="J75" s="111">
        <f t="shared" si="99"/>
        <v>875.9</v>
      </c>
      <c r="K75" s="111">
        <f t="shared" si="99"/>
        <v>1090.9000000000001</v>
      </c>
      <c r="L75" s="111">
        <f t="shared" si="99"/>
        <v>1170.5</v>
      </c>
      <c r="M75" s="111">
        <f t="shared" si="99"/>
        <v>1289.9000000000001</v>
      </c>
      <c r="N75" s="111">
        <f t="shared" si="99"/>
        <v>1592.5</v>
      </c>
      <c r="O75" s="111">
        <f t="shared" si="99"/>
        <v>1711.9</v>
      </c>
      <c r="P75" s="111">
        <f t="shared" si="99"/>
        <v>2388.8000000000002</v>
      </c>
      <c r="Q75" s="42">
        <f t="shared" si="66"/>
        <v>786</v>
      </c>
      <c r="R75" s="125">
        <f>RCFs!F$7</f>
        <v>15.72</v>
      </c>
      <c r="S75" s="111">
        <f t="shared" si="96"/>
        <v>1021.8</v>
      </c>
      <c r="T75" s="111">
        <f t="shared" si="96"/>
        <v>1179</v>
      </c>
      <c r="U75" s="42">
        <f t="shared" si="68"/>
        <v>771.8</v>
      </c>
      <c r="V75" s="125">
        <f>RCFs!F$9</f>
        <v>15.435</v>
      </c>
      <c r="W75" s="42">
        <f t="shared" si="87"/>
        <v>771.8</v>
      </c>
      <c r="X75" s="125">
        <f t="shared" si="94"/>
        <v>15.435</v>
      </c>
      <c r="Y75" s="111">
        <f t="shared" si="70"/>
        <v>848.9</v>
      </c>
      <c r="Z75" s="111">
        <f t="shared" si="100"/>
        <v>1057.3</v>
      </c>
      <c r="AA75" s="111">
        <f t="shared" si="100"/>
        <v>1250.2</v>
      </c>
      <c r="AB75" s="111">
        <f t="shared" si="100"/>
        <v>1134.5</v>
      </c>
      <c r="AC75" s="111">
        <f t="shared" si="100"/>
        <v>1674.7</v>
      </c>
      <c r="AD75" s="111">
        <f t="shared" si="100"/>
        <v>2315.3000000000002</v>
      </c>
      <c r="AE75" s="42">
        <f t="shared" si="89"/>
        <v>740.5</v>
      </c>
      <c r="AF75" s="125">
        <f>RCFs!F$13</f>
        <v>14.81</v>
      </c>
      <c r="AG75" s="110">
        <f t="shared" si="98"/>
        <v>1221.8</v>
      </c>
      <c r="AH75" s="110">
        <f t="shared" si="98"/>
        <v>1555.1</v>
      </c>
      <c r="AI75" s="110">
        <f t="shared" si="98"/>
        <v>2221.5</v>
      </c>
      <c r="AJ75" s="42">
        <f t="shared" si="74"/>
        <v>782.2</v>
      </c>
      <c r="AK75" s="125">
        <f>RCFs!F$25</f>
        <v>15.644</v>
      </c>
      <c r="AL75" s="42">
        <f>ROUND(AM75*C75,1)</f>
        <v>1052.4000000000001</v>
      </c>
      <c r="AM75" s="125">
        <f>RCFs!F$29</f>
        <v>21.048000000000002</v>
      </c>
      <c r="AN75" s="42">
        <f t="shared" si="76"/>
        <v>840.4</v>
      </c>
      <c r="AO75" s="125">
        <f>RCFs!F$33</f>
        <v>16.808</v>
      </c>
      <c r="AP75" s="110">
        <f t="shared" si="77"/>
        <v>1260.5999999999999</v>
      </c>
      <c r="AQ75" s="124">
        <f t="shared" si="78"/>
        <v>835</v>
      </c>
      <c r="AR75" s="125">
        <f>RCFs!F$35</f>
        <v>16.7</v>
      </c>
      <c r="AS75" s="110">
        <f t="shared" si="79"/>
        <v>1085.5</v>
      </c>
      <c r="AT75" s="110">
        <f t="shared" si="80"/>
        <v>24.2</v>
      </c>
      <c r="AU75" s="124">
        <f t="shared" si="81"/>
        <v>814.9</v>
      </c>
      <c r="AV75" s="124">
        <f>RCFs!F$37</f>
        <v>16.297999999999998</v>
      </c>
      <c r="AW75" s="124">
        <f t="shared" si="91"/>
        <v>816.1</v>
      </c>
      <c r="AX75" s="125">
        <f>RCFs!F$64</f>
        <v>16.323</v>
      </c>
      <c r="AY75" s="124">
        <f t="shared" si="82"/>
        <v>826.6</v>
      </c>
      <c r="AZ75" s="125">
        <f>RCFs!F$39</f>
        <v>16.532</v>
      </c>
      <c r="BA75" s="124">
        <f t="shared" si="83"/>
        <v>794.9</v>
      </c>
      <c r="BB75" s="125">
        <f>RCFs!F$41</f>
        <v>15.898</v>
      </c>
    </row>
    <row r="76" spans="1:54" s="67" customFormat="1" x14ac:dyDescent="0.2">
      <c r="A76" s="69" t="s">
        <v>209</v>
      </c>
      <c r="B76" s="68" t="s">
        <v>53</v>
      </c>
      <c r="C76" s="46">
        <v>25</v>
      </c>
      <c r="D76" s="70">
        <f t="shared" si="84"/>
        <v>397.5</v>
      </c>
      <c r="E76" s="71">
        <f>BB76</f>
        <v>15.898</v>
      </c>
      <c r="F76" s="124">
        <f t="shared" si="63"/>
        <v>398.1</v>
      </c>
      <c r="G76" s="123">
        <f>RCFs!F$5</f>
        <v>15.925000000000001</v>
      </c>
      <c r="H76" s="124">
        <f t="shared" si="64"/>
        <v>398.1</v>
      </c>
      <c r="I76" s="123">
        <f>RCFs!F$5</f>
        <v>15.925000000000001</v>
      </c>
      <c r="J76" s="111">
        <f t="shared" si="99"/>
        <v>437.9</v>
      </c>
      <c r="K76" s="111">
        <f t="shared" si="99"/>
        <v>545.4</v>
      </c>
      <c r="L76" s="111">
        <f t="shared" si="99"/>
        <v>585.20000000000005</v>
      </c>
      <c r="M76" s="111">
        <f t="shared" si="99"/>
        <v>645</v>
      </c>
      <c r="N76" s="111">
        <f t="shared" si="99"/>
        <v>796.3</v>
      </c>
      <c r="O76" s="111">
        <f t="shared" si="99"/>
        <v>856</v>
      </c>
      <c r="P76" s="111">
        <f t="shared" si="99"/>
        <v>1194.4000000000001</v>
      </c>
      <c r="Q76" s="42">
        <f t="shared" si="66"/>
        <v>393</v>
      </c>
      <c r="R76" s="125">
        <f>RCFs!F$7</f>
        <v>15.72</v>
      </c>
      <c r="S76" s="111">
        <f t="shared" si="96"/>
        <v>510.9</v>
      </c>
      <c r="T76" s="111">
        <f t="shared" si="96"/>
        <v>589.5</v>
      </c>
      <c r="U76" s="42">
        <f t="shared" si="68"/>
        <v>385.9</v>
      </c>
      <c r="V76" s="125">
        <f>RCFs!F$9</f>
        <v>15.435</v>
      </c>
      <c r="W76" s="42">
        <f t="shared" si="87"/>
        <v>385.9</v>
      </c>
      <c r="X76" s="125">
        <f t="shared" si="94"/>
        <v>15.435</v>
      </c>
      <c r="Y76" s="111">
        <f t="shared" si="70"/>
        <v>424.4</v>
      </c>
      <c r="Z76" s="111">
        <f t="shared" si="100"/>
        <v>528.6</v>
      </c>
      <c r="AA76" s="111">
        <f t="shared" si="100"/>
        <v>625.1</v>
      </c>
      <c r="AB76" s="111">
        <f t="shared" si="100"/>
        <v>567.20000000000005</v>
      </c>
      <c r="AC76" s="111">
        <f t="shared" si="100"/>
        <v>837.3</v>
      </c>
      <c r="AD76" s="111">
        <f t="shared" si="100"/>
        <v>1157.5999999999999</v>
      </c>
      <c r="AE76" s="42">
        <f t="shared" si="89"/>
        <v>370.3</v>
      </c>
      <c r="AF76" s="125">
        <f>RCFs!F$13</f>
        <v>14.81</v>
      </c>
      <c r="AG76" s="110">
        <f t="shared" si="98"/>
        <v>611</v>
      </c>
      <c r="AH76" s="110">
        <f t="shared" si="98"/>
        <v>777.6</v>
      </c>
      <c r="AI76" s="110">
        <f t="shared" si="98"/>
        <v>1110.9000000000001</v>
      </c>
      <c r="AJ76" s="42">
        <f t="shared" si="74"/>
        <v>391.1</v>
      </c>
      <c r="AK76" s="125">
        <f>RCFs!F$25</f>
        <v>15.644</v>
      </c>
      <c r="AL76" s="42">
        <f>ROUND(AM76*C76,1)</f>
        <v>526.20000000000005</v>
      </c>
      <c r="AM76" s="125">
        <f>RCFs!F$29</f>
        <v>21.048000000000002</v>
      </c>
      <c r="AN76" s="42">
        <f t="shared" si="76"/>
        <v>420.2</v>
      </c>
      <c r="AO76" s="125">
        <f>RCFs!F$33</f>
        <v>16.808</v>
      </c>
      <c r="AP76" s="110">
        <f t="shared" si="77"/>
        <v>630.29999999999995</v>
      </c>
      <c r="AQ76" s="124">
        <f t="shared" si="78"/>
        <v>417.5</v>
      </c>
      <c r="AR76" s="125">
        <f>RCFs!F$35</f>
        <v>16.7</v>
      </c>
      <c r="AS76" s="110">
        <f t="shared" si="79"/>
        <v>542.70000000000005</v>
      </c>
      <c r="AT76" s="110">
        <f t="shared" si="80"/>
        <v>24.2</v>
      </c>
      <c r="AU76" s="124">
        <f t="shared" si="81"/>
        <v>407.4</v>
      </c>
      <c r="AV76" s="124">
        <f>RCFs!F$37</f>
        <v>16.297999999999998</v>
      </c>
      <c r="AW76" s="124">
        <f t="shared" si="91"/>
        <v>408</v>
      </c>
      <c r="AX76" s="125">
        <f>RCFs!F$64</f>
        <v>16.323</v>
      </c>
      <c r="AY76" s="124">
        <f t="shared" si="82"/>
        <v>413.3</v>
      </c>
      <c r="AZ76" s="125">
        <f>RCFs!F$39</f>
        <v>16.532</v>
      </c>
      <c r="BA76" s="124">
        <f t="shared" si="83"/>
        <v>397.4</v>
      </c>
      <c r="BB76" s="125">
        <f>RCFs!F$41</f>
        <v>15.898</v>
      </c>
    </row>
    <row r="77" spans="1:54" s="67" customFormat="1" x14ac:dyDescent="0.2">
      <c r="A77" s="69" t="s">
        <v>210</v>
      </c>
      <c r="B77" s="68" t="s">
        <v>54</v>
      </c>
      <c r="C77" s="46">
        <v>50</v>
      </c>
      <c r="D77" s="70">
        <f t="shared" si="84"/>
        <v>794.9</v>
      </c>
      <c r="E77" s="71">
        <f>BB77</f>
        <v>15.898</v>
      </c>
      <c r="F77" s="124">
        <f t="shared" si="63"/>
        <v>796.2</v>
      </c>
      <c r="G77" s="123">
        <f>RCFs!F$5</f>
        <v>15.925000000000001</v>
      </c>
      <c r="H77" s="124">
        <f t="shared" si="64"/>
        <v>796.2</v>
      </c>
      <c r="I77" s="123">
        <f>RCFs!F$5</f>
        <v>15.925000000000001</v>
      </c>
      <c r="J77" s="111">
        <f t="shared" si="99"/>
        <v>875.9</v>
      </c>
      <c r="K77" s="111">
        <f t="shared" si="99"/>
        <v>1090.9000000000001</v>
      </c>
      <c r="L77" s="111">
        <f t="shared" si="99"/>
        <v>1170.5</v>
      </c>
      <c r="M77" s="111">
        <f t="shared" si="99"/>
        <v>1289.9000000000001</v>
      </c>
      <c r="N77" s="111">
        <f t="shared" si="99"/>
        <v>1592.5</v>
      </c>
      <c r="O77" s="111">
        <f t="shared" si="99"/>
        <v>1711.9</v>
      </c>
      <c r="P77" s="111">
        <f t="shared" si="99"/>
        <v>2388.8000000000002</v>
      </c>
      <c r="Q77" s="42">
        <f t="shared" si="66"/>
        <v>786</v>
      </c>
      <c r="R77" s="125">
        <f>RCFs!F$7</f>
        <v>15.72</v>
      </c>
      <c r="S77" s="111">
        <f t="shared" si="96"/>
        <v>1021.8</v>
      </c>
      <c r="T77" s="111">
        <f t="shared" si="96"/>
        <v>1179</v>
      </c>
      <c r="U77" s="42">
        <f t="shared" si="68"/>
        <v>771.8</v>
      </c>
      <c r="V77" s="125">
        <f>RCFs!F$9</f>
        <v>15.435</v>
      </c>
      <c r="W77" s="42">
        <f t="shared" si="87"/>
        <v>771.8</v>
      </c>
      <c r="X77" s="125">
        <f t="shared" si="94"/>
        <v>15.435</v>
      </c>
      <c r="Y77" s="111">
        <f t="shared" si="70"/>
        <v>848.9</v>
      </c>
      <c r="Z77" s="111">
        <f t="shared" si="100"/>
        <v>1057.3</v>
      </c>
      <c r="AA77" s="111">
        <f t="shared" si="100"/>
        <v>1250.2</v>
      </c>
      <c r="AB77" s="111">
        <f t="shared" si="100"/>
        <v>1134.5</v>
      </c>
      <c r="AC77" s="111">
        <f t="shared" si="100"/>
        <v>1674.7</v>
      </c>
      <c r="AD77" s="111">
        <f t="shared" si="100"/>
        <v>2315.3000000000002</v>
      </c>
      <c r="AE77" s="42">
        <f t="shared" si="89"/>
        <v>740.5</v>
      </c>
      <c r="AF77" s="125">
        <f>RCFs!F$13</f>
        <v>14.81</v>
      </c>
      <c r="AG77" s="110">
        <f t="shared" si="98"/>
        <v>1221.8</v>
      </c>
      <c r="AH77" s="110">
        <f t="shared" si="98"/>
        <v>1555.1</v>
      </c>
      <c r="AI77" s="110">
        <f t="shared" si="98"/>
        <v>2221.5</v>
      </c>
      <c r="AJ77" s="42">
        <f t="shared" si="74"/>
        <v>782.2</v>
      </c>
      <c r="AK77" s="125">
        <f>RCFs!F$25</f>
        <v>15.644</v>
      </c>
      <c r="AL77" s="42">
        <f>ROUND(AM77*C77,1)</f>
        <v>1052.4000000000001</v>
      </c>
      <c r="AM77" s="125">
        <f>RCFs!F$29</f>
        <v>21.048000000000002</v>
      </c>
      <c r="AN77" s="42">
        <f t="shared" si="76"/>
        <v>840.4</v>
      </c>
      <c r="AO77" s="125">
        <f>RCFs!F$33</f>
        <v>16.808</v>
      </c>
      <c r="AP77" s="110">
        <f t="shared" si="77"/>
        <v>1260.5999999999999</v>
      </c>
      <c r="AQ77" s="124">
        <f t="shared" si="78"/>
        <v>835</v>
      </c>
      <c r="AR77" s="125">
        <f>RCFs!F$35</f>
        <v>16.7</v>
      </c>
      <c r="AS77" s="110">
        <f t="shared" si="79"/>
        <v>1085.5</v>
      </c>
      <c r="AT77" s="110">
        <f t="shared" si="80"/>
        <v>24.2</v>
      </c>
      <c r="AU77" s="124">
        <f t="shared" si="81"/>
        <v>814.9</v>
      </c>
      <c r="AV77" s="124">
        <f>RCFs!F$37</f>
        <v>16.297999999999998</v>
      </c>
      <c r="AW77" s="124">
        <f t="shared" si="91"/>
        <v>816.1</v>
      </c>
      <c r="AX77" s="125">
        <f>RCFs!F$64</f>
        <v>16.323</v>
      </c>
      <c r="AY77" s="124">
        <f t="shared" si="82"/>
        <v>826.6</v>
      </c>
      <c r="AZ77" s="125">
        <f>RCFs!F$39</f>
        <v>16.532</v>
      </c>
      <c r="BA77" s="124">
        <f t="shared" si="83"/>
        <v>794.9</v>
      </c>
      <c r="BB77" s="125">
        <f>RCFs!F$41</f>
        <v>15.898</v>
      </c>
    </row>
    <row r="78" spans="1:54" s="67" customFormat="1" x14ac:dyDescent="0.2">
      <c r="A78" s="69" t="s">
        <v>211</v>
      </c>
      <c r="B78" s="68" t="s">
        <v>55</v>
      </c>
      <c r="C78" s="46">
        <v>50</v>
      </c>
      <c r="D78" s="70">
        <f t="shared" si="84"/>
        <v>794.9</v>
      </c>
      <c r="E78" s="71">
        <f>BB78</f>
        <v>15.898</v>
      </c>
      <c r="F78" s="124">
        <f t="shared" si="63"/>
        <v>796.2</v>
      </c>
      <c r="G78" s="123">
        <f>RCFs!F$5</f>
        <v>15.925000000000001</v>
      </c>
      <c r="H78" s="124">
        <f t="shared" si="64"/>
        <v>796.2</v>
      </c>
      <c r="I78" s="123">
        <f>RCFs!F$5</f>
        <v>15.925000000000001</v>
      </c>
      <c r="J78" s="111">
        <f t="shared" si="99"/>
        <v>875.9</v>
      </c>
      <c r="K78" s="111">
        <f t="shared" si="99"/>
        <v>1090.9000000000001</v>
      </c>
      <c r="L78" s="111">
        <f t="shared" si="99"/>
        <v>1170.5</v>
      </c>
      <c r="M78" s="111">
        <f t="shared" si="99"/>
        <v>1289.9000000000001</v>
      </c>
      <c r="N78" s="111">
        <f t="shared" si="99"/>
        <v>1592.5</v>
      </c>
      <c r="O78" s="111">
        <f t="shared" si="99"/>
        <v>1711.9</v>
      </c>
      <c r="P78" s="111">
        <f t="shared" si="99"/>
        <v>2388.8000000000002</v>
      </c>
      <c r="Q78" s="42">
        <f t="shared" si="66"/>
        <v>786</v>
      </c>
      <c r="R78" s="125">
        <f>RCFs!F$7</f>
        <v>15.72</v>
      </c>
      <c r="S78" s="111">
        <f t="shared" si="96"/>
        <v>1021.8</v>
      </c>
      <c r="T78" s="111">
        <f t="shared" si="96"/>
        <v>1179</v>
      </c>
      <c r="U78" s="42">
        <f t="shared" si="68"/>
        <v>771.8</v>
      </c>
      <c r="V78" s="125">
        <f>RCFs!F$9</f>
        <v>15.435</v>
      </c>
      <c r="W78" s="42">
        <f t="shared" si="87"/>
        <v>771.8</v>
      </c>
      <c r="X78" s="125">
        <f t="shared" si="94"/>
        <v>15.435</v>
      </c>
      <c r="Y78" s="111">
        <f t="shared" si="70"/>
        <v>848.9</v>
      </c>
      <c r="Z78" s="111">
        <f t="shared" si="100"/>
        <v>1057.3</v>
      </c>
      <c r="AA78" s="111">
        <f t="shared" si="100"/>
        <v>1250.2</v>
      </c>
      <c r="AB78" s="111">
        <f t="shared" si="100"/>
        <v>1134.5</v>
      </c>
      <c r="AC78" s="111">
        <f t="shared" si="100"/>
        <v>1674.7</v>
      </c>
      <c r="AD78" s="111">
        <f t="shared" si="100"/>
        <v>2315.3000000000002</v>
      </c>
      <c r="AE78" s="42">
        <f t="shared" si="89"/>
        <v>740.5</v>
      </c>
      <c r="AF78" s="125">
        <f>RCFs!F$13</f>
        <v>14.81</v>
      </c>
      <c r="AG78" s="110">
        <f t="shared" si="98"/>
        <v>1221.8</v>
      </c>
      <c r="AH78" s="110">
        <f t="shared" si="98"/>
        <v>1555.1</v>
      </c>
      <c r="AI78" s="110">
        <f t="shared" si="98"/>
        <v>2221.5</v>
      </c>
      <c r="AJ78" s="42">
        <f t="shared" si="74"/>
        <v>782.2</v>
      </c>
      <c r="AK78" s="125">
        <f>RCFs!F$25</f>
        <v>15.644</v>
      </c>
      <c r="AL78" s="42">
        <f>ROUND(AM78*C78,1)</f>
        <v>1052.4000000000001</v>
      </c>
      <c r="AM78" s="125">
        <f>RCFs!F$29</f>
        <v>21.048000000000002</v>
      </c>
      <c r="AN78" s="42">
        <f t="shared" si="76"/>
        <v>840.4</v>
      </c>
      <c r="AO78" s="125">
        <f>RCFs!F$33</f>
        <v>16.808</v>
      </c>
      <c r="AP78" s="110">
        <f t="shared" si="77"/>
        <v>1260.5999999999999</v>
      </c>
      <c r="AQ78" s="124">
        <f t="shared" si="78"/>
        <v>835</v>
      </c>
      <c r="AR78" s="125">
        <f>RCFs!F$35</f>
        <v>16.7</v>
      </c>
      <c r="AS78" s="110">
        <f t="shared" si="79"/>
        <v>1085.5</v>
      </c>
      <c r="AT78" s="110">
        <f t="shared" si="80"/>
        <v>24.2</v>
      </c>
      <c r="AU78" s="124">
        <f t="shared" si="81"/>
        <v>814.9</v>
      </c>
      <c r="AV78" s="124">
        <f>RCFs!F$37</f>
        <v>16.297999999999998</v>
      </c>
      <c r="AW78" s="124">
        <f t="shared" si="91"/>
        <v>816.1</v>
      </c>
      <c r="AX78" s="125">
        <f>RCFs!F$64</f>
        <v>16.323</v>
      </c>
      <c r="AY78" s="124">
        <f t="shared" si="82"/>
        <v>826.6</v>
      </c>
      <c r="AZ78" s="125">
        <f>RCFs!F$39</f>
        <v>16.532</v>
      </c>
      <c r="BA78" s="124">
        <f t="shared" si="83"/>
        <v>794.9</v>
      </c>
      <c r="BB78" s="125">
        <f>RCFs!F$41</f>
        <v>15.898</v>
      </c>
    </row>
    <row r="79" spans="1:54" s="67" customFormat="1" ht="25.5" x14ac:dyDescent="0.2">
      <c r="A79" s="69" t="s">
        <v>212</v>
      </c>
      <c r="B79" s="68" t="s">
        <v>61</v>
      </c>
      <c r="C79" s="46">
        <v>60</v>
      </c>
      <c r="D79" s="70">
        <f t="shared" si="84"/>
        <v>953.9</v>
      </c>
      <c r="E79" s="71">
        <f>BB79</f>
        <v>15.898</v>
      </c>
      <c r="F79" s="124">
        <f t="shared" si="63"/>
        <v>955.5</v>
      </c>
      <c r="G79" s="123">
        <f>RCFs!F$5</f>
        <v>15.925000000000001</v>
      </c>
      <c r="H79" s="124">
        <f t="shared" si="64"/>
        <v>955.5</v>
      </c>
      <c r="I79" s="123">
        <f>RCFs!F$5</f>
        <v>15.925000000000001</v>
      </c>
      <c r="J79" s="111">
        <f t="shared" si="99"/>
        <v>1051.0999999999999</v>
      </c>
      <c r="K79" s="111">
        <f t="shared" si="99"/>
        <v>1309</v>
      </c>
      <c r="L79" s="111">
        <f t="shared" si="99"/>
        <v>1404.6</v>
      </c>
      <c r="M79" s="111">
        <f t="shared" si="99"/>
        <v>1547.9</v>
      </c>
      <c r="N79" s="111">
        <f t="shared" si="99"/>
        <v>1911</v>
      </c>
      <c r="O79" s="111">
        <f t="shared" si="99"/>
        <v>2054.3000000000002</v>
      </c>
      <c r="P79" s="111">
        <f t="shared" si="99"/>
        <v>2866.5</v>
      </c>
      <c r="Q79" s="42">
        <f t="shared" si="66"/>
        <v>943.2</v>
      </c>
      <c r="R79" s="125">
        <f>RCFs!F$7</f>
        <v>15.72</v>
      </c>
      <c r="S79" s="111">
        <f t="shared" si="96"/>
        <v>1226.0999999999999</v>
      </c>
      <c r="T79" s="111">
        <f t="shared" si="96"/>
        <v>1414.8</v>
      </c>
      <c r="U79" s="42">
        <f t="shared" si="68"/>
        <v>926.1</v>
      </c>
      <c r="V79" s="125">
        <f>RCFs!F$9</f>
        <v>15.435</v>
      </c>
      <c r="W79" s="42">
        <f t="shared" si="87"/>
        <v>926.1</v>
      </c>
      <c r="X79" s="125">
        <f t="shared" si="94"/>
        <v>15.435</v>
      </c>
      <c r="Y79" s="111">
        <f t="shared" si="70"/>
        <v>1018.7</v>
      </c>
      <c r="Z79" s="111">
        <f t="shared" si="100"/>
        <v>1268.8</v>
      </c>
      <c r="AA79" s="111">
        <f t="shared" si="100"/>
        <v>1500.3</v>
      </c>
      <c r="AB79" s="111">
        <f t="shared" si="100"/>
        <v>1361.4</v>
      </c>
      <c r="AC79" s="111">
        <f t="shared" si="100"/>
        <v>2009.6</v>
      </c>
      <c r="AD79" s="111">
        <f t="shared" si="100"/>
        <v>2778.3</v>
      </c>
      <c r="AE79" s="42">
        <f t="shared" si="89"/>
        <v>888.6</v>
      </c>
      <c r="AF79" s="125">
        <f>RCFs!F$13</f>
        <v>14.81</v>
      </c>
      <c r="AG79" s="110">
        <f t="shared" si="98"/>
        <v>1466.2</v>
      </c>
      <c r="AH79" s="110">
        <f t="shared" si="98"/>
        <v>1866.1</v>
      </c>
      <c r="AI79" s="110">
        <f t="shared" si="98"/>
        <v>2665.8</v>
      </c>
      <c r="AJ79" s="42">
        <f t="shared" si="74"/>
        <v>938.6</v>
      </c>
      <c r="AK79" s="125">
        <f>RCFs!F$25</f>
        <v>15.644</v>
      </c>
      <c r="AL79" s="42">
        <f>ROUND(AM79*C79,1)</f>
        <v>1262.9000000000001</v>
      </c>
      <c r="AM79" s="125">
        <f>RCFs!F$29</f>
        <v>21.048000000000002</v>
      </c>
      <c r="AN79" s="42">
        <f t="shared" si="76"/>
        <v>1008.4</v>
      </c>
      <c r="AO79" s="125">
        <f>RCFs!F$33</f>
        <v>16.808</v>
      </c>
      <c r="AP79" s="110">
        <f t="shared" si="77"/>
        <v>1512.6</v>
      </c>
      <c r="AQ79" s="124">
        <f t="shared" si="78"/>
        <v>1002</v>
      </c>
      <c r="AR79" s="125">
        <f>RCFs!F$35</f>
        <v>16.7</v>
      </c>
      <c r="AS79" s="110">
        <f t="shared" si="79"/>
        <v>1302.5999999999999</v>
      </c>
      <c r="AT79" s="110">
        <f t="shared" si="80"/>
        <v>24.2</v>
      </c>
      <c r="AU79" s="124">
        <f t="shared" si="81"/>
        <v>977.8</v>
      </c>
      <c r="AV79" s="124">
        <f>RCFs!F$37</f>
        <v>16.297999999999998</v>
      </c>
      <c r="AW79" s="124">
        <f t="shared" si="91"/>
        <v>979.3</v>
      </c>
      <c r="AX79" s="125">
        <f>RCFs!F$64</f>
        <v>16.323</v>
      </c>
      <c r="AY79" s="124">
        <f t="shared" si="82"/>
        <v>991.9</v>
      </c>
      <c r="AZ79" s="125">
        <f>RCFs!F$39</f>
        <v>16.532</v>
      </c>
      <c r="BA79" s="124">
        <f t="shared" si="83"/>
        <v>953.8</v>
      </c>
      <c r="BB79" s="125">
        <f>RCFs!F$41</f>
        <v>15.898</v>
      </c>
    </row>
    <row r="80" spans="1:54" s="67" customFormat="1" x14ac:dyDescent="0.2">
      <c r="A80" s="66">
        <v>3636</v>
      </c>
      <c r="B80" s="68" t="s">
        <v>198</v>
      </c>
      <c r="C80" s="46">
        <v>100</v>
      </c>
      <c r="D80" s="42">
        <f t="shared" si="84"/>
        <v>6398.3</v>
      </c>
      <c r="E80" s="123">
        <f>RCFs!C$43</f>
        <v>63.983120993999997</v>
      </c>
      <c r="F80" s="124">
        <f t="shared" si="63"/>
        <v>1670.8</v>
      </c>
      <c r="G80" s="123">
        <f>RCFs!C$5</f>
        <v>16.707999999999998</v>
      </c>
      <c r="H80" s="124">
        <f t="shared" si="64"/>
        <v>1670.8</v>
      </c>
      <c r="I80" s="123">
        <f>RCFs!C$5</f>
        <v>16.707999999999998</v>
      </c>
      <c r="J80" s="111">
        <f t="shared" si="99"/>
        <v>1837.9</v>
      </c>
      <c r="K80" s="111">
        <f t="shared" si="99"/>
        <v>2289</v>
      </c>
      <c r="L80" s="111">
        <f t="shared" si="99"/>
        <v>2456.1</v>
      </c>
      <c r="M80" s="111">
        <f t="shared" si="99"/>
        <v>2706.7</v>
      </c>
      <c r="N80" s="111">
        <f t="shared" si="99"/>
        <v>3341.6</v>
      </c>
      <c r="O80" s="111">
        <f t="shared" si="99"/>
        <v>3592.2</v>
      </c>
      <c r="P80" s="111">
        <f t="shared" si="99"/>
        <v>5012.3999999999996</v>
      </c>
      <c r="Q80" s="42">
        <f t="shared" si="66"/>
        <v>1645</v>
      </c>
      <c r="R80" s="125">
        <f>RCFs!C$7</f>
        <v>16.45</v>
      </c>
      <c r="S80" s="111">
        <f t="shared" si="96"/>
        <v>2138.5</v>
      </c>
      <c r="T80" s="111">
        <f t="shared" si="96"/>
        <v>2467.5</v>
      </c>
      <c r="U80" s="42">
        <f t="shared" si="68"/>
        <v>1619.2</v>
      </c>
      <c r="V80" s="125">
        <f>RCFs!C$9</f>
        <v>16.192</v>
      </c>
      <c r="W80" s="42">
        <f t="shared" si="87"/>
        <v>1619.2</v>
      </c>
      <c r="X80" s="125">
        <f t="shared" si="94"/>
        <v>16.192</v>
      </c>
      <c r="Y80" s="111">
        <f t="shared" si="70"/>
        <v>1781.1</v>
      </c>
      <c r="Z80" s="111">
        <f t="shared" si="100"/>
        <v>2218.3000000000002</v>
      </c>
      <c r="AA80" s="111">
        <f t="shared" si="100"/>
        <v>2623.1</v>
      </c>
      <c r="AB80" s="111">
        <f t="shared" si="100"/>
        <v>2380.1999999999998</v>
      </c>
      <c r="AC80" s="111">
        <f t="shared" si="100"/>
        <v>3513.7</v>
      </c>
      <c r="AD80" s="111">
        <f t="shared" si="100"/>
        <v>4857.6000000000004</v>
      </c>
      <c r="AE80" s="42">
        <f t="shared" si="89"/>
        <v>1552</v>
      </c>
      <c r="AF80" s="125">
        <f>RCFs!C$13</f>
        <v>15.52</v>
      </c>
      <c r="AG80" s="110">
        <f t="shared" si="98"/>
        <v>2560.8000000000002</v>
      </c>
      <c r="AH80" s="110">
        <f t="shared" si="98"/>
        <v>3259.2</v>
      </c>
      <c r="AI80" s="110">
        <f t="shared" si="98"/>
        <v>4656</v>
      </c>
      <c r="AJ80" s="42">
        <f t="shared" si="74"/>
        <v>1641.3</v>
      </c>
      <c r="AK80" s="125">
        <f>RCFs!C$25</f>
        <v>16.413333333333334</v>
      </c>
      <c r="AL80" s="42">
        <f t="shared" ref="AL80:AL87" si="101">ROUNDDOWN(C80*AM80,1)</f>
        <v>2207.6</v>
      </c>
      <c r="AM80" s="125">
        <f>RCFs!C$29</f>
        <v>22.076666666666664</v>
      </c>
      <c r="AN80" s="42">
        <f t="shared" si="76"/>
        <v>1763.3</v>
      </c>
      <c r="AO80" s="125">
        <f>RCFs!C$33</f>
        <v>17.632999999999999</v>
      </c>
      <c r="AP80" s="110">
        <f t="shared" si="77"/>
        <v>2644.9</v>
      </c>
      <c r="AQ80" s="124">
        <f t="shared" si="78"/>
        <v>1743</v>
      </c>
      <c r="AR80" s="125">
        <f>RCFs!C$35</f>
        <v>17.43</v>
      </c>
      <c r="AS80" s="110">
        <f t="shared" si="79"/>
        <v>2265.9</v>
      </c>
      <c r="AT80" s="110">
        <f t="shared" si="80"/>
        <v>25.2</v>
      </c>
      <c r="AU80" s="124">
        <f t="shared" si="81"/>
        <v>1709</v>
      </c>
      <c r="AV80" s="124">
        <f>RCFs!C$37</f>
        <v>17.09</v>
      </c>
      <c r="AW80" s="124">
        <f t="shared" si="91"/>
        <v>1712.6</v>
      </c>
      <c r="AX80" s="125">
        <f>RCFs!C$64</f>
        <v>17.125999999999998</v>
      </c>
      <c r="AY80" s="124">
        <f t="shared" si="82"/>
        <v>1745</v>
      </c>
      <c r="AZ80" s="125">
        <f>RCFs!C$39</f>
        <v>17.45</v>
      </c>
      <c r="BA80" s="124">
        <f t="shared" si="83"/>
        <v>1667.9</v>
      </c>
      <c r="BB80" s="125">
        <f>RCFs!C$41</f>
        <v>16.678999999999998</v>
      </c>
    </row>
    <row r="81" spans="1:54" s="67" customFormat="1" ht="25.5" x14ac:dyDescent="0.2">
      <c r="A81" s="66">
        <v>3637</v>
      </c>
      <c r="B81" s="68" t="s">
        <v>199</v>
      </c>
      <c r="C81" s="46">
        <v>78</v>
      </c>
      <c r="D81" s="42">
        <f t="shared" si="84"/>
        <v>4990.7</v>
      </c>
      <c r="E81" s="123">
        <f>RCFs!C$43</f>
        <v>63.983120993999997</v>
      </c>
      <c r="F81" s="124">
        <f t="shared" si="63"/>
        <v>1303.2</v>
      </c>
      <c r="G81" s="123">
        <f>RCFs!C$5</f>
        <v>16.707999999999998</v>
      </c>
      <c r="H81" s="124">
        <f t="shared" si="64"/>
        <v>1303.2</v>
      </c>
      <c r="I81" s="123">
        <f>RCFs!C$5</f>
        <v>16.707999999999998</v>
      </c>
      <c r="J81" s="111">
        <f t="shared" ref="J81:P87" si="102">ROUND($C81*$I81*J$6,1)</f>
        <v>1433.5</v>
      </c>
      <c r="K81" s="111">
        <f t="shared" si="102"/>
        <v>1785.4</v>
      </c>
      <c r="L81" s="111">
        <f t="shared" si="102"/>
        <v>1915.7</v>
      </c>
      <c r="M81" s="111">
        <f t="shared" si="102"/>
        <v>2111.1999999999998</v>
      </c>
      <c r="N81" s="111">
        <f t="shared" si="102"/>
        <v>2606.4</v>
      </c>
      <c r="O81" s="111">
        <f t="shared" si="102"/>
        <v>2801.9</v>
      </c>
      <c r="P81" s="111">
        <f t="shared" si="102"/>
        <v>3909.7</v>
      </c>
      <c r="Q81" s="42">
        <f t="shared" si="66"/>
        <v>1283.0999999999999</v>
      </c>
      <c r="R81" s="125">
        <f>RCFs!C$7</f>
        <v>16.45</v>
      </c>
      <c r="S81" s="111">
        <f t="shared" ref="S81:T87" si="103">ROUNDDOWN($Q81*S$6,1)</f>
        <v>1668</v>
      </c>
      <c r="T81" s="111">
        <f t="shared" si="103"/>
        <v>1924.6</v>
      </c>
      <c r="U81" s="42">
        <f t="shared" si="68"/>
        <v>1263</v>
      </c>
      <c r="V81" s="125">
        <f>RCFs!C$9</f>
        <v>16.192</v>
      </c>
      <c r="W81" s="42">
        <f t="shared" si="87"/>
        <v>1263</v>
      </c>
      <c r="X81" s="125">
        <f t="shared" si="94"/>
        <v>16.192</v>
      </c>
      <c r="Y81" s="111">
        <f t="shared" si="70"/>
        <v>1389.3</v>
      </c>
      <c r="Z81" s="111">
        <f t="shared" ref="Z81:AD87" si="104">ROUND($C81*$X81*Z$6,1)</f>
        <v>1730.3</v>
      </c>
      <c r="AA81" s="111">
        <f t="shared" si="104"/>
        <v>2046</v>
      </c>
      <c r="AB81" s="111">
        <f t="shared" si="104"/>
        <v>1856.6</v>
      </c>
      <c r="AC81" s="111">
        <f t="shared" si="104"/>
        <v>2740.7</v>
      </c>
      <c r="AD81" s="111">
        <f t="shared" si="104"/>
        <v>3788.9</v>
      </c>
      <c r="AE81" s="42">
        <f t="shared" si="89"/>
        <v>1210.5999999999999</v>
      </c>
      <c r="AF81" s="125">
        <f>RCFs!C$13</f>
        <v>15.52</v>
      </c>
      <c r="AG81" s="110">
        <f t="shared" ref="AG81:AI87" si="105">ROUND($AE81*AG$6,1)</f>
        <v>1997.5</v>
      </c>
      <c r="AH81" s="110">
        <f t="shared" si="105"/>
        <v>2542.3000000000002</v>
      </c>
      <c r="AI81" s="110">
        <f t="shared" si="105"/>
        <v>3631.8</v>
      </c>
      <c r="AJ81" s="42">
        <f t="shared" si="74"/>
        <v>1280.2</v>
      </c>
      <c r="AK81" s="125">
        <f>RCFs!C$25</f>
        <v>16.413333333333334</v>
      </c>
      <c r="AL81" s="42">
        <f t="shared" si="101"/>
        <v>1721.9</v>
      </c>
      <c r="AM81" s="125">
        <f>RCFs!C$29</f>
        <v>22.076666666666664</v>
      </c>
      <c r="AN81" s="42">
        <f t="shared" si="76"/>
        <v>1375.3</v>
      </c>
      <c r="AO81" s="125">
        <f>RCFs!C$33</f>
        <v>17.632999999999999</v>
      </c>
      <c r="AP81" s="110">
        <f t="shared" si="77"/>
        <v>2062.9</v>
      </c>
      <c r="AQ81" s="124">
        <f t="shared" si="78"/>
        <v>1359.5</v>
      </c>
      <c r="AR81" s="125">
        <f>RCFs!C$35</f>
        <v>17.43</v>
      </c>
      <c r="AS81" s="110">
        <f t="shared" si="79"/>
        <v>1767.3</v>
      </c>
      <c r="AT81" s="110">
        <f t="shared" si="80"/>
        <v>25.2</v>
      </c>
      <c r="AU81" s="124">
        <f t="shared" si="81"/>
        <v>1333</v>
      </c>
      <c r="AV81" s="124">
        <f>RCFs!C$37</f>
        <v>17.09</v>
      </c>
      <c r="AW81" s="124">
        <f t="shared" si="91"/>
        <v>1335.8</v>
      </c>
      <c r="AX81" s="125">
        <f>RCFs!C$64</f>
        <v>17.125999999999998</v>
      </c>
      <c r="AY81" s="124">
        <f t="shared" si="82"/>
        <v>1361.1</v>
      </c>
      <c r="AZ81" s="125">
        <f>RCFs!C$39</f>
        <v>17.45</v>
      </c>
      <c r="BA81" s="124">
        <f t="shared" si="83"/>
        <v>1300.9000000000001</v>
      </c>
      <c r="BB81" s="125">
        <f>RCFs!C$41</f>
        <v>16.678999999999998</v>
      </c>
    </row>
    <row r="82" spans="1:54" s="67" customFormat="1" ht="25.5" x14ac:dyDescent="0.2">
      <c r="A82" s="69">
        <v>5110</v>
      </c>
      <c r="B82" s="68" t="s">
        <v>200</v>
      </c>
      <c r="C82" s="46">
        <v>128</v>
      </c>
      <c r="D82" s="70">
        <f t="shared" si="84"/>
        <v>8189.8</v>
      </c>
      <c r="E82" s="71">
        <f>RCFs!C$43</f>
        <v>63.983120993999997</v>
      </c>
      <c r="F82" s="124">
        <f t="shared" si="63"/>
        <v>2138.6</v>
      </c>
      <c r="G82" s="123">
        <f>RCFs!C$5</f>
        <v>16.707999999999998</v>
      </c>
      <c r="H82" s="124">
        <f t="shared" si="64"/>
        <v>2138.6</v>
      </c>
      <c r="I82" s="123">
        <f>RCFs!C$5</f>
        <v>16.707999999999998</v>
      </c>
      <c r="J82" s="111">
        <f t="shared" si="102"/>
        <v>2352.5</v>
      </c>
      <c r="K82" s="111">
        <f t="shared" si="102"/>
        <v>2929.9</v>
      </c>
      <c r="L82" s="111">
        <f t="shared" si="102"/>
        <v>3143.8</v>
      </c>
      <c r="M82" s="111">
        <f t="shared" si="102"/>
        <v>3464.6</v>
      </c>
      <c r="N82" s="111">
        <f t="shared" si="102"/>
        <v>4277.2</v>
      </c>
      <c r="O82" s="111">
        <f t="shared" si="102"/>
        <v>4598</v>
      </c>
      <c r="P82" s="111">
        <f t="shared" si="102"/>
        <v>6415.9</v>
      </c>
      <c r="Q82" s="42">
        <f t="shared" si="66"/>
        <v>2105.6</v>
      </c>
      <c r="R82" s="125">
        <f>RCFs!C$7</f>
        <v>16.45</v>
      </c>
      <c r="S82" s="111">
        <f t="shared" si="103"/>
        <v>2737.2</v>
      </c>
      <c r="T82" s="111">
        <f t="shared" si="103"/>
        <v>3158.4</v>
      </c>
      <c r="U82" s="42">
        <f t="shared" si="68"/>
        <v>2072.6</v>
      </c>
      <c r="V82" s="125">
        <f>RCFs!C$9</f>
        <v>16.192</v>
      </c>
      <c r="W82" s="42">
        <f t="shared" si="87"/>
        <v>2072.6</v>
      </c>
      <c r="X82" s="125">
        <f t="shared" si="94"/>
        <v>16.192</v>
      </c>
      <c r="Y82" s="111">
        <f t="shared" si="70"/>
        <v>2279.8000000000002</v>
      </c>
      <c r="Z82" s="111">
        <f t="shared" si="104"/>
        <v>2839.4</v>
      </c>
      <c r="AA82" s="111">
        <f t="shared" si="104"/>
        <v>3357.6</v>
      </c>
      <c r="AB82" s="111">
        <f t="shared" si="104"/>
        <v>3046.7</v>
      </c>
      <c r="AC82" s="111">
        <f t="shared" si="104"/>
        <v>4497.5</v>
      </c>
      <c r="AD82" s="111">
        <f t="shared" si="104"/>
        <v>6217.7</v>
      </c>
      <c r="AE82" s="42">
        <f t="shared" si="89"/>
        <v>1986.6</v>
      </c>
      <c r="AF82" s="125">
        <f>RCFs!C$13</f>
        <v>15.52</v>
      </c>
      <c r="AG82" s="110">
        <f t="shared" si="105"/>
        <v>3277.9</v>
      </c>
      <c r="AH82" s="110">
        <f t="shared" si="105"/>
        <v>4171.8999999999996</v>
      </c>
      <c r="AI82" s="110">
        <f t="shared" si="105"/>
        <v>5959.8</v>
      </c>
      <c r="AJ82" s="42">
        <f t="shared" si="74"/>
        <v>2100.9</v>
      </c>
      <c r="AK82" s="125">
        <f>RCFs!C$25</f>
        <v>16.413333333333334</v>
      </c>
      <c r="AL82" s="42">
        <f t="shared" si="101"/>
        <v>2825.8</v>
      </c>
      <c r="AM82" s="125">
        <f>RCFs!C$29</f>
        <v>22.076666666666664</v>
      </c>
      <c r="AN82" s="42">
        <f t="shared" si="76"/>
        <v>2257</v>
      </c>
      <c r="AO82" s="125">
        <f>RCFs!C$33</f>
        <v>17.632999999999999</v>
      </c>
      <c r="AP82" s="110">
        <f t="shared" si="77"/>
        <v>3385.5</v>
      </c>
      <c r="AQ82" s="124">
        <f t="shared" si="78"/>
        <v>2231</v>
      </c>
      <c r="AR82" s="125">
        <f>RCFs!C$35</f>
        <v>17.43</v>
      </c>
      <c r="AS82" s="110">
        <f t="shared" si="79"/>
        <v>2900.3</v>
      </c>
      <c r="AT82" s="110">
        <f t="shared" si="80"/>
        <v>25.2</v>
      </c>
      <c r="AU82" s="124">
        <f t="shared" si="81"/>
        <v>2187.5</v>
      </c>
      <c r="AV82" s="124">
        <f>RCFs!C$37</f>
        <v>17.09</v>
      </c>
      <c r="AW82" s="124">
        <f t="shared" si="91"/>
        <v>2192.1</v>
      </c>
      <c r="AX82" s="125">
        <f>RCFs!C$64</f>
        <v>17.125999999999998</v>
      </c>
      <c r="AY82" s="124">
        <f t="shared" si="82"/>
        <v>2233.6</v>
      </c>
      <c r="AZ82" s="125">
        <f>RCFs!C$39</f>
        <v>17.45</v>
      </c>
      <c r="BA82" s="124">
        <f t="shared" si="83"/>
        <v>2134.9</v>
      </c>
      <c r="BB82" s="125">
        <f>RCFs!C$41</f>
        <v>16.678999999999998</v>
      </c>
    </row>
    <row r="83" spans="1:54" s="67" customFormat="1" ht="38.25" x14ac:dyDescent="0.2">
      <c r="A83" s="69">
        <v>5111</v>
      </c>
      <c r="B83" s="68" t="s">
        <v>201</v>
      </c>
      <c r="C83" s="46">
        <v>206</v>
      </c>
      <c r="D83" s="70">
        <f t="shared" si="84"/>
        <v>13180.5</v>
      </c>
      <c r="E83" s="71">
        <f>RCFs!C$43</f>
        <v>63.983120993999997</v>
      </c>
      <c r="F83" s="124">
        <f t="shared" si="63"/>
        <v>3441.8</v>
      </c>
      <c r="G83" s="123">
        <f>RCFs!C$5</f>
        <v>16.707999999999998</v>
      </c>
      <c r="H83" s="124">
        <f t="shared" si="64"/>
        <v>3441.8</v>
      </c>
      <c r="I83" s="123">
        <f>RCFs!C$5</f>
        <v>16.707999999999998</v>
      </c>
      <c r="J83" s="111">
        <f t="shared" si="102"/>
        <v>3786</v>
      </c>
      <c r="K83" s="111">
        <f t="shared" si="102"/>
        <v>4715.3</v>
      </c>
      <c r="L83" s="111">
        <f t="shared" si="102"/>
        <v>5059.5</v>
      </c>
      <c r="M83" s="111">
        <f t="shared" si="102"/>
        <v>5575.8</v>
      </c>
      <c r="N83" s="111">
        <f t="shared" si="102"/>
        <v>6883.7</v>
      </c>
      <c r="O83" s="111">
        <f t="shared" si="102"/>
        <v>7400</v>
      </c>
      <c r="P83" s="111">
        <f t="shared" si="102"/>
        <v>10325.5</v>
      </c>
      <c r="Q83" s="42">
        <f t="shared" si="66"/>
        <v>3388.7</v>
      </c>
      <c r="R83" s="125">
        <f>RCFs!C$7</f>
        <v>16.45</v>
      </c>
      <c r="S83" s="111">
        <f t="shared" si="103"/>
        <v>4405.3</v>
      </c>
      <c r="T83" s="111">
        <f t="shared" si="103"/>
        <v>5083</v>
      </c>
      <c r="U83" s="42">
        <f t="shared" si="68"/>
        <v>3335.6</v>
      </c>
      <c r="V83" s="125">
        <f>RCFs!C$9</f>
        <v>16.192</v>
      </c>
      <c r="W83" s="42">
        <f t="shared" si="87"/>
        <v>3335.6</v>
      </c>
      <c r="X83" s="125">
        <f t="shared" si="94"/>
        <v>16.192</v>
      </c>
      <c r="Y83" s="111">
        <f t="shared" si="70"/>
        <v>3669.1</v>
      </c>
      <c r="Z83" s="111">
        <f t="shared" si="104"/>
        <v>4569.7</v>
      </c>
      <c r="AA83" s="111">
        <f t="shared" si="104"/>
        <v>5403.6</v>
      </c>
      <c r="AB83" s="111">
        <f t="shared" si="104"/>
        <v>4903.3</v>
      </c>
      <c r="AC83" s="111">
        <f t="shared" si="104"/>
        <v>7238.1</v>
      </c>
      <c r="AD83" s="111">
        <f t="shared" si="104"/>
        <v>10006.700000000001</v>
      </c>
      <c r="AE83" s="42">
        <f t="shared" si="89"/>
        <v>3197.1</v>
      </c>
      <c r="AF83" s="125">
        <f>RCFs!C$13</f>
        <v>15.52</v>
      </c>
      <c r="AG83" s="110">
        <f t="shared" si="105"/>
        <v>5275.2</v>
      </c>
      <c r="AH83" s="110">
        <f t="shared" si="105"/>
        <v>6713.9</v>
      </c>
      <c r="AI83" s="110">
        <f t="shared" si="105"/>
        <v>9591.2999999999993</v>
      </c>
      <c r="AJ83" s="42">
        <f t="shared" si="74"/>
        <v>3381.1</v>
      </c>
      <c r="AK83" s="125">
        <f>RCFs!C$25</f>
        <v>16.413333333333334</v>
      </c>
      <c r="AL83" s="42">
        <f t="shared" si="101"/>
        <v>4547.7</v>
      </c>
      <c r="AM83" s="125">
        <f>RCFs!C$29</f>
        <v>22.076666666666664</v>
      </c>
      <c r="AN83" s="42">
        <f t="shared" si="76"/>
        <v>3632.3</v>
      </c>
      <c r="AO83" s="125">
        <f>RCFs!C$33</f>
        <v>17.632999999999999</v>
      </c>
      <c r="AP83" s="110">
        <f t="shared" si="77"/>
        <v>5448.4</v>
      </c>
      <c r="AQ83" s="124">
        <f t="shared" si="78"/>
        <v>3590.5</v>
      </c>
      <c r="AR83" s="125">
        <f>RCFs!C$35</f>
        <v>17.43</v>
      </c>
      <c r="AS83" s="110">
        <f t="shared" si="79"/>
        <v>4667.6000000000004</v>
      </c>
      <c r="AT83" s="110">
        <f t="shared" si="80"/>
        <v>25.2</v>
      </c>
      <c r="AU83" s="124">
        <f t="shared" si="81"/>
        <v>3520.5</v>
      </c>
      <c r="AV83" s="124">
        <f>RCFs!C$37</f>
        <v>17.09</v>
      </c>
      <c r="AW83" s="124">
        <f t="shared" si="91"/>
        <v>3527.9</v>
      </c>
      <c r="AX83" s="125">
        <f>RCFs!C$64</f>
        <v>17.125999999999998</v>
      </c>
      <c r="AY83" s="124">
        <f t="shared" si="82"/>
        <v>3594.7</v>
      </c>
      <c r="AZ83" s="125">
        <f>RCFs!C$39</f>
        <v>17.45</v>
      </c>
      <c r="BA83" s="124">
        <f t="shared" si="83"/>
        <v>3435.8</v>
      </c>
      <c r="BB83" s="125">
        <f>RCFs!C$41</f>
        <v>16.678999999999998</v>
      </c>
    </row>
    <row r="84" spans="1:54" s="67" customFormat="1" ht="38.25" x14ac:dyDescent="0.2">
      <c r="A84" s="66">
        <v>5783</v>
      </c>
      <c r="B84" s="68" t="s">
        <v>202</v>
      </c>
      <c r="C84" s="46">
        <v>42.65</v>
      </c>
      <c r="D84" s="42">
        <f t="shared" si="84"/>
        <v>2728.9</v>
      </c>
      <c r="E84" s="123">
        <f>RCFs!C$43</f>
        <v>63.983120993999997</v>
      </c>
      <c r="F84" s="124">
        <f t="shared" si="63"/>
        <v>712.5</v>
      </c>
      <c r="G84" s="123">
        <f>RCFs!C$5</f>
        <v>16.707999999999998</v>
      </c>
      <c r="H84" s="124">
        <f t="shared" si="64"/>
        <v>712.5</v>
      </c>
      <c r="I84" s="123">
        <f>RCFs!C$5</f>
        <v>16.707999999999998</v>
      </c>
      <c r="J84" s="111">
        <f t="shared" si="102"/>
        <v>783.9</v>
      </c>
      <c r="K84" s="111">
        <f t="shared" si="102"/>
        <v>976.3</v>
      </c>
      <c r="L84" s="111">
        <f t="shared" si="102"/>
        <v>1047.5</v>
      </c>
      <c r="M84" s="111">
        <f t="shared" si="102"/>
        <v>1154.4000000000001</v>
      </c>
      <c r="N84" s="111">
        <f t="shared" si="102"/>
        <v>1425.2</v>
      </c>
      <c r="O84" s="111">
        <f t="shared" si="102"/>
        <v>1532.1</v>
      </c>
      <c r="P84" s="111">
        <f t="shared" si="102"/>
        <v>2137.8000000000002</v>
      </c>
      <c r="Q84" s="42">
        <f t="shared" si="66"/>
        <v>701.5</v>
      </c>
      <c r="R84" s="125">
        <f>RCFs!C$7</f>
        <v>16.45</v>
      </c>
      <c r="S84" s="111">
        <f t="shared" si="103"/>
        <v>911.9</v>
      </c>
      <c r="T84" s="111">
        <f t="shared" si="103"/>
        <v>1052.2</v>
      </c>
      <c r="U84" s="42">
        <f t="shared" si="68"/>
        <v>690.6</v>
      </c>
      <c r="V84" s="125">
        <f>RCFs!C$9</f>
        <v>16.192</v>
      </c>
      <c r="W84" s="42">
        <f t="shared" si="87"/>
        <v>690.6</v>
      </c>
      <c r="X84" s="125">
        <f t="shared" si="94"/>
        <v>16.192</v>
      </c>
      <c r="Y84" s="111">
        <f t="shared" si="70"/>
        <v>759.6</v>
      </c>
      <c r="Z84" s="111">
        <f t="shared" si="104"/>
        <v>946.1</v>
      </c>
      <c r="AA84" s="111">
        <f t="shared" si="104"/>
        <v>1118.8</v>
      </c>
      <c r="AB84" s="111">
        <f t="shared" si="104"/>
        <v>1015.2</v>
      </c>
      <c r="AC84" s="111">
        <f t="shared" si="104"/>
        <v>1498.6</v>
      </c>
      <c r="AD84" s="111">
        <f t="shared" si="104"/>
        <v>2071.8000000000002</v>
      </c>
      <c r="AE84" s="42">
        <f t="shared" si="89"/>
        <v>661.9</v>
      </c>
      <c r="AF84" s="125">
        <f>RCFs!C$13</f>
        <v>15.52</v>
      </c>
      <c r="AG84" s="110">
        <f t="shared" si="105"/>
        <v>1092.0999999999999</v>
      </c>
      <c r="AH84" s="110">
        <f t="shared" si="105"/>
        <v>1390</v>
      </c>
      <c r="AI84" s="110">
        <f t="shared" si="105"/>
        <v>1985.7</v>
      </c>
      <c r="AJ84" s="42">
        <f t="shared" si="74"/>
        <v>700</v>
      </c>
      <c r="AK84" s="125">
        <f>RCFs!C$25</f>
        <v>16.413333333333334</v>
      </c>
      <c r="AL84" s="42">
        <f t="shared" si="101"/>
        <v>941.5</v>
      </c>
      <c r="AM84" s="125">
        <f>RCFs!C$29</f>
        <v>22.076666666666664</v>
      </c>
      <c r="AN84" s="42">
        <f t="shared" si="76"/>
        <v>752</v>
      </c>
      <c r="AO84" s="125">
        <f>RCFs!C$33</f>
        <v>17.632999999999999</v>
      </c>
      <c r="AP84" s="110">
        <f t="shared" si="77"/>
        <v>1128</v>
      </c>
      <c r="AQ84" s="124">
        <f t="shared" si="78"/>
        <v>743.3</v>
      </c>
      <c r="AR84" s="125">
        <f>RCFs!C$35</f>
        <v>17.43</v>
      </c>
      <c r="AS84" s="110">
        <f t="shared" si="79"/>
        <v>966.2</v>
      </c>
      <c r="AT84" s="110">
        <f t="shared" si="80"/>
        <v>25.2</v>
      </c>
      <c r="AU84" s="124">
        <f t="shared" si="81"/>
        <v>728.8</v>
      </c>
      <c r="AV84" s="124">
        <f>RCFs!C$37</f>
        <v>17.09</v>
      </c>
      <c r="AW84" s="124">
        <f t="shared" si="91"/>
        <v>730.4</v>
      </c>
      <c r="AX84" s="125">
        <f>RCFs!C$64</f>
        <v>17.125999999999998</v>
      </c>
      <c r="AY84" s="124">
        <f t="shared" si="82"/>
        <v>744.2</v>
      </c>
      <c r="AZ84" s="125">
        <f>RCFs!C$39</f>
        <v>17.45</v>
      </c>
      <c r="BA84" s="124">
        <f t="shared" si="83"/>
        <v>711.3</v>
      </c>
      <c r="BB84" s="125">
        <f>RCFs!C$41</f>
        <v>16.678999999999998</v>
      </c>
    </row>
    <row r="85" spans="1:54" s="67" customFormat="1" ht="89.25" x14ac:dyDescent="0.2">
      <c r="A85" s="66">
        <v>5790</v>
      </c>
      <c r="B85" s="68" t="s">
        <v>203</v>
      </c>
      <c r="C85" s="46">
        <v>42.95</v>
      </c>
      <c r="D85" s="42">
        <f t="shared" si="84"/>
        <v>2748.1</v>
      </c>
      <c r="E85" s="123">
        <f>RCFs!C$43</f>
        <v>63.983120993999997</v>
      </c>
      <c r="F85" s="124">
        <f t="shared" si="63"/>
        <v>717.6</v>
      </c>
      <c r="G85" s="123">
        <f>RCFs!C$5</f>
        <v>16.707999999999998</v>
      </c>
      <c r="H85" s="124">
        <f t="shared" si="64"/>
        <v>717.6</v>
      </c>
      <c r="I85" s="123">
        <f>RCFs!C$5</f>
        <v>16.707999999999998</v>
      </c>
      <c r="J85" s="111">
        <f t="shared" si="102"/>
        <v>789.4</v>
      </c>
      <c r="K85" s="111">
        <f t="shared" si="102"/>
        <v>983.1</v>
      </c>
      <c r="L85" s="111">
        <f t="shared" si="102"/>
        <v>1054.9000000000001</v>
      </c>
      <c r="M85" s="111">
        <f t="shared" si="102"/>
        <v>1162.5</v>
      </c>
      <c r="N85" s="111">
        <f t="shared" si="102"/>
        <v>1435.2</v>
      </c>
      <c r="O85" s="111">
        <f t="shared" si="102"/>
        <v>1542.9</v>
      </c>
      <c r="P85" s="111">
        <f t="shared" si="102"/>
        <v>2152.8000000000002</v>
      </c>
      <c r="Q85" s="42">
        <f t="shared" si="66"/>
        <v>706.5</v>
      </c>
      <c r="R85" s="125">
        <f>RCFs!C$7</f>
        <v>16.45</v>
      </c>
      <c r="S85" s="111">
        <f t="shared" si="103"/>
        <v>918.4</v>
      </c>
      <c r="T85" s="111">
        <f t="shared" si="103"/>
        <v>1059.7</v>
      </c>
      <c r="U85" s="42">
        <f t="shared" si="68"/>
        <v>695.4</v>
      </c>
      <c r="V85" s="125">
        <f>RCFs!C$9</f>
        <v>16.192</v>
      </c>
      <c r="W85" s="42">
        <f t="shared" si="87"/>
        <v>695.4</v>
      </c>
      <c r="X85" s="125">
        <f t="shared" si="94"/>
        <v>16.192</v>
      </c>
      <c r="Y85" s="111">
        <f t="shared" si="70"/>
        <v>764.9</v>
      </c>
      <c r="Z85" s="111">
        <f t="shared" si="104"/>
        <v>952.8</v>
      </c>
      <c r="AA85" s="111">
        <f t="shared" si="104"/>
        <v>1126.5999999999999</v>
      </c>
      <c r="AB85" s="111">
        <f t="shared" si="104"/>
        <v>1022.3</v>
      </c>
      <c r="AC85" s="111">
        <f t="shared" si="104"/>
        <v>1509.1</v>
      </c>
      <c r="AD85" s="111">
        <f t="shared" si="104"/>
        <v>2086.3000000000002</v>
      </c>
      <c r="AE85" s="42">
        <f t="shared" si="89"/>
        <v>666.6</v>
      </c>
      <c r="AF85" s="125">
        <f>RCFs!C$13</f>
        <v>15.52</v>
      </c>
      <c r="AG85" s="110">
        <f t="shared" si="105"/>
        <v>1099.9000000000001</v>
      </c>
      <c r="AH85" s="110">
        <f t="shared" si="105"/>
        <v>1399.9</v>
      </c>
      <c r="AI85" s="110">
        <f t="shared" si="105"/>
        <v>1999.8</v>
      </c>
      <c r="AJ85" s="42">
        <f t="shared" si="74"/>
        <v>704.9</v>
      </c>
      <c r="AK85" s="125">
        <f>RCFs!C$25</f>
        <v>16.413333333333334</v>
      </c>
      <c r="AL85" s="42">
        <f t="shared" si="101"/>
        <v>948.1</v>
      </c>
      <c r="AM85" s="125">
        <f>RCFs!C$29</f>
        <v>22.076666666666664</v>
      </c>
      <c r="AN85" s="42">
        <f t="shared" si="76"/>
        <v>757.3</v>
      </c>
      <c r="AO85" s="125">
        <f>RCFs!C$33</f>
        <v>17.632999999999999</v>
      </c>
      <c r="AP85" s="110">
        <f t="shared" si="77"/>
        <v>1135.9000000000001</v>
      </c>
      <c r="AQ85" s="124">
        <f t="shared" si="78"/>
        <v>748.6</v>
      </c>
      <c r="AR85" s="125">
        <f>RCFs!C$35</f>
        <v>17.43</v>
      </c>
      <c r="AS85" s="110">
        <f t="shared" si="79"/>
        <v>973.1</v>
      </c>
      <c r="AT85" s="110">
        <f t="shared" si="80"/>
        <v>25.2</v>
      </c>
      <c r="AU85" s="124">
        <f t="shared" si="81"/>
        <v>734</v>
      </c>
      <c r="AV85" s="124">
        <f>RCFs!C$37</f>
        <v>17.09</v>
      </c>
      <c r="AW85" s="124">
        <f t="shared" si="91"/>
        <v>735.5</v>
      </c>
      <c r="AX85" s="125">
        <f>RCFs!C$64</f>
        <v>17.125999999999998</v>
      </c>
      <c r="AY85" s="124">
        <f t="shared" si="82"/>
        <v>749.4</v>
      </c>
      <c r="AZ85" s="125">
        <f>RCFs!C$39</f>
        <v>17.45</v>
      </c>
      <c r="BA85" s="124">
        <f t="shared" si="83"/>
        <v>716.3</v>
      </c>
      <c r="BB85" s="125">
        <f>RCFs!C$41</f>
        <v>16.678999999999998</v>
      </c>
    </row>
    <row r="86" spans="1:54" s="67" customFormat="1" ht="63.75" x14ac:dyDescent="0.2">
      <c r="A86" s="66">
        <v>5793</v>
      </c>
      <c r="B86" s="68" t="s">
        <v>204</v>
      </c>
      <c r="C86" s="46">
        <v>159.47</v>
      </c>
      <c r="D86" s="42">
        <f t="shared" si="84"/>
        <v>10203.4</v>
      </c>
      <c r="E86" s="123">
        <f>RCFs!C$43</f>
        <v>63.983120993999997</v>
      </c>
      <c r="F86" s="124">
        <f t="shared" si="63"/>
        <v>2664.4</v>
      </c>
      <c r="G86" s="123">
        <f>RCFs!C$5</f>
        <v>16.707999999999998</v>
      </c>
      <c r="H86" s="124">
        <f t="shared" si="64"/>
        <v>2664.4</v>
      </c>
      <c r="I86" s="123">
        <f>RCFs!C$5</f>
        <v>16.707999999999998</v>
      </c>
      <c r="J86" s="111">
        <f t="shared" si="102"/>
        <v>2930.9</v>
      </c>
      <c r="K86" s="111">
        <f t="shared" si="102"/>
        <v>3650.3</v>
      </c>
      <c r="L86" s="111">
        <f t="shared" si="102"/>
        <v>3916.7</v>
      </c>
      <c r="M86" s="111">
        <f t="shared" si="102"/>
        <v>4316.3999999999996</v>
      </c>
      <c r="N86" s="111">
        <f t="shared" si="102"/>
        <v>5328.8</v>
      </c>
      <c r="O86" s="111">
        <f t="shared" si="102"/>
        <v>5728.5</v>
      </c>
      <c r="P86" s="111">
        <f t="shared" si="102"/>
        <v>7993.3</v>
      </c>
      <c r="Q86" s="42">
        <f t="shared" si="66"/>
        <v>2623.2</v>
      </c>
      <c r="R86" s="125">
        <f>RCFs!C$7</f>
        <v>16.45</v>
      </c>
      <c r="S86" s="111">
        <f t="shared" si="103"/>
        <v>3410.1</v>
      </c>
      <c r="T86" s="111">
        <f t="shared" si="103"/>
        <v>3934.8</v>
      </c>
      <c r="U86" s="42">
        <f t="shared" si="68"/>
        <v>2582.1</v>
      </c>
      <c r="V86" s="125">
        <f>RCFs!C$9</f>
        <v>16.192</v>
      </c>
      <c r="W86" s="42">
        <f t="shared" si="87"/>
        <v>2582.1</v>
      </c>
      <c r="X86" s="125">
        <f t="shared" si="94"/>
        <v>16.192</v>
      </c>
      <c r="Y86" s="111">
        <f t="shared" si="70"/>
        <v>2840.3</v>
      </c>
      <c r="Z86" s="111">
        <f t="shared" si="104"/>
        <v>3537.5</v>
      </c>
      <c r="AA86" s="111">
        <f t="shared" si="104"/>
        <v>4183.1000000000004</v>
      </c>
      <c r="AB86" s="111">
        <f t="shared" si="104"/>
        <v>3795.7</v>
      </c>
      <c r="AC86" s="111">
        <f t="shared" si="104"/>
        <v>5603.2</v>
      </c>
      <c r="AD86" s="111">
        <f t="shared" si="104"/>
        <v>7746.4</v>
      </c>
      <c r="AE86" s="42">
        <f t="shared" si="89"/>
        <v>2475</v>
      </c>
      <c r="AF86" s="125">
        <f>RCFs!C$13</f>
        <v>15.52</v>
      </c>
      <c r="AG86" s="110">
        <f t="shared" si="105"/>
        <v>4083.8</v>
      </c>
      <c r="AH86" s="110">
        <f t="shared" si="105"/>
        <v>5197.5</v>
      </c>
      <c r="AI86" s="110">
        <f t="shared" si="105"/>
        <v>7425</v>
      </c>
      <c r="AJ86" s="42">
        <f t="shared" si="74"/>
        <v>2617.4</v>
      </c>
      <c r="AK86" s="125">
        <f>RCFs!C$25</f>
        <v>16.413333333333334</v>
      </c>
      <c r="AL86" s="42">
        <f t="shared" si="101"/>
        <v>3520.5</v>
      </c>
      <c r="AM86" s="125">
        <f>RCFs!C$29</f>
        <v>22.076666666666664</v>
      </c>
      <c r="AN86" s="42">
        <f t="shared" si="76"/>
        <v>2811.9</v>
      </c>
      <c r="AO86" s="125">
        <f>RCFs!C$33</f>
        <v>17.632999999999999</v>
      </c>
      <c r="AP86" s="110">
        <f t="shared" si="77"/>
        <v>4217.8</v>
      </c>
      <c r="AQ86" s="124">
        <f t="shared" si="78"/>
        <v>2779.5</v>
      </c>
      <c r="AR86" s="125">
        <f>RCFs!C$35</f>
        <v>17.43</v>
      </c>
      <c r="AS86" s="110">
        <f t="shared" si="79"/>
        <v>3613.3</v>
      </c>
      <c r="AT86" s="110">
        <f t="shared" si="80"/>
        <v>25.2</v>
      </c>
      <c r="AU86" s="124">
        <f t="shared" si="81"/>
        <v>2725.3</v>
      </c>
      <c r="AV86" s="124">
        <f>RCFs!C$37</f>
        <v>17.09</v>
      </c>
      <c r="AW86" s="124">
        <f t="shared" si="91"/>
        <v>2731</v>
      </c>
      <c r="AX86" s="125">
        <f>RCFs!C$64</f>
        <v>17.125999999999998</v>
      </c>
      <c r="AY86" s="124">
        <f t="shared" si="82"/>
        <v>2782.7</v>
      </c>
      <c r="AZ86" s="125">
        <f>RCFs!C$39</f>
        <v>17.45</v>
      </c>
      <c r="BA86" s="124">
        <f t="shared" si="83"/>
        <v>2659.8</v>
      </c>
      <c r="BB86" s="125">
        <f>RCFs!C$41</f>
        <v>16.678999999999998</v>
      </c>
    </row>
    <row r="87" spans="1:54" s="67" customFormat="1" ht="114.75" x14ac:dyDescent="0.2">
      <c r="A87" s="66">
        <v>5794</v>
      </c>
      <c r="B87" s="68" t="s">
        <v>205</v>
      </c>
      <c r="C87" s="46">
        <v>90.03</v>
      </c>
      <c r="D87" s="42">
        <f t="shared" si="84"/>
        <v>5760.4</v>
      </c>
      <c r="E87" s="123">
        <f>RCFs!C$43</f>
        <v>63.983120993999997</v>
      </c>
      <c r="F87" s="124">
        <f t="shared" si="63"/>
        <v>1504.2</v>
      </c>
      <c r="G87" s="123">
        <f>RCFs!C$5</f>
        <v>16.707999999999998</v>
      </c>
      <c r="H87" s="124">
        <f t="shared" si="64"/>
        <v>1504.2</v>
      </c>
      <c r="I87" s="123">
        <f>RCFs!C$5</f>
        <v>16.707999999999998</v>
      </c>
      <c r="J87" s="111">
        <f t="shared" si="102"/>
        <v>1654.6</v>
      </c>
      <c r="K87" s="111">
        <f t="shared" si="102"/>
        <v>2060.8000000000002</v>
      </c>
      <c r="L87" s="111">
        <f t="shared" si="102"/>
        <v>2211.1999999999998</v>
      </c>
      <c r="M87" s="111">
        <f t="shared" si="102"/>
        <v>2436.8000000000002</v>
      </c>
      <c r="N87" s="111">
        <f t="shared" si="102"/>
        <v>3008.4</v>
      </c>
      <c r="O87" s="111">
        <f t="shared" si="102"/>
        <v>3234.1</v>
      </c>
      <c r="P87" s="111">
        <f t="shared" si="102"/>
        <v>4512.7</v>
      </c>
      <c r="Q87" s="42">
        <f t="shared" si="66"/>
        <v>1480.9</v>
      </c>
      <c r="R87" s="125">
        <f>RCFs!C$7</f>
        <v>16.45</v>
      </c>
      <c r="S87" s="111">
        <f t="shared" si="103"/>
        <v>1925.1</v>
      </c>
      <c r="T87" s="111">
        <f t="shared" si="103"/>
        <v>2221.3000000000002</v>
      </c>
      <c r="U87" s="42">
        <f t="shared" si="68"/>
        <v>1457.8</v>
      </c>
      <c r="V87" s="125">
        <f>RCFs!C$9</f>
        <v>16.192</v>
      </c>
      <c r="W87" s="42">
        <f t="shared" si="87"/>
        <v>1457.8</v>
      </c>
      <c r="X87" s="125">
        <f t="shared" si="94"/>
        <v>16.192</v>
      </c>
      <c r="Y87" s="111">
        <f t="shared" si="70"/>
        <v>1603.5</v>
      </c>
      <c r="Z87" s="111">
        <f t="shared" si="104"/>
        <v>1997.1</v>
      </c>
      <c r="AA87" s="111">
        <f t="shared" si="104"/>
        <v>2361.6</v>
      </c>
      <c r="AB87" s="111">
        <f t="shared" si="104"/>
        <v>2142.9</v>
      </c>
      <c r="AC87" s="111">
        <f t="shared" si="104"/>
        <v>3163.4</v>
      </c>
      <c r="AD87" s="111">
        <f t="shared" si="104"/>
        <v>4373.3</v>
      </c>
      <c r="AE87" s="42">
        <f t="shared" si="89"/>
        <v>1397.3</v>
      </c>
      <c r="AF87" s="125">
        <f>RCFs!C$13</f>
        <v>15.52</v>
      </c>
      <c r="AG87" s="110">
        <f t="shared" si="105"/>
        <v>2305.5</v>
      </c>
      <c r="AH87" s="110">
        <f t="shared" si="105"/>
        <v>2934.3</v>
      </c>
      <c r="AI87" s="110">
        <f t="shared" si="105"/>
        <v>4191.8999999999996</v>
      </c>
      <c r="AJ87" s="42">
        <f t="shared" si="74"/>
        <v>1477.6</v>
      </c>
      <c r="AK87" s="125">
        <f>RCFs!C$25</f>
        <v>16.413333333333334</v>
      </c>
      <c r="AL87" s="42">
        <f t="shared" si="101"/>
        <v>1987.5</v>
      </c>
      <c r="AM87" s="125">
        <f>RCFs!C$29</f>
        <v>22.076666666666664</v>
      </c>
      <c r="AN87" s="42">
        <f t="shared" si="76"/>
        <v>1587.4</v>
      </c>
      <c r="AO87" s="125">
        <f>RCFs!C$33</f>
        <v>17.632999999999999</v>
      </c>
      <c r="AP87" s="110">
        <f t="shared" si="77"/>
        <v>2381.1</v>
      </c>
      <c r="AQ87" s="124">
        <f t="shared" si="78"/>
        <v>1569.2</v>
      </c>
      <c r="AR87" s="125">
        <f>RCFs!C$35</f>
        <v>17.43</v>
      </c>
      <c r="AS87" s="110">
        <f t="shared" si="79"/>
        <v>2039.9</v>
      </c>
      <c r="AT87" s="110">
        <f t="shared" si="80"/>
        <v>25.2</v>
      </c>
      <c r="AU87" s="124">
        <f t="shared" si="81"/>
        <v>1538.6</v>
      </c>
      <c r="AV87" s="124">
        <f>RCFs!C$37</f>
        <v>17.09</v>
      </c>
      <c r="AW87" s="124">
        <f t="shared" si="91"/>
        <v>1541.8</v>
      </c>
      <c r="AX87" s="125">
        <f>RCFs!C$64</f>
        <v>17.125999999999998</v>
      </c>
      <c r="AY87" s="124">
        <f t="shared" si="82"/>
        <v>1571</v>
      </c>
      <c r="AZ87" s="125">
        <f>RCFs!C$39</f>
        <v>17.45</v>
      </c>
      <c r="BA87" s="124">
        <f t="shared" si="83"/>
        <v>1501.6</v>
      </c>
      <c r="BB87" s="125">
        <f>RCFs!C$41</f>
        <v>16.678999999999998</v>
      </c>
    </row>
    <row r="88" spans="1:54" x14ac:dyDescent="0.2">
      <c r="A88" s="72"/>
      <c r="B88" s="73"/>
      <c r="C88" s="74"/>
      <c r="D88" s="75"/>
      <c r="E88" s="76"/>
      <c r="F88" s="75"/>
      <c r="G88" s="76"/>
      <c r="H88" s="75"/>
      <c r="I88" s="76"/>
      <c r="J88" s="114"/>
      <c r="K88" s="114"/>
      <c r="L88" s="114"/>
      <c r="M88" s="114"/>
      <c r="N88" s="114"/>
      <c r="O88" s="114"/>
      <c r="P88" s="114"/>
      <c r="Q88" s="75"/>
      <c r="R88" s="77"/>
      <c r="S88" s="114"/>
      <c r="T88" s="114"/>
      <c r="U88" s="75"/>
      <c r="V88" s="77"/>
      <c r="W88" s="75"/>
      <c r="X88" s="77"/>
      <c r="Y88" s="120"/>
      <c r="Z88" s="120"/>
      <c r="AA88" s="120"/>
      <c r="AB88" s="120"/>
      <c r="AC88" s="120"/>
      <c r="AD88" s="120"/>
      <c r="AE88" s="75"/>
      <c r="AF88" s="75"/>
      <c r="AG88" s="121"/>
      <c r="AH88" s="121"/>
      <c r="AI88" s="121"/>
      <c r="AJ88" s="75"/>
      <c r="AK88" s="78"/>
      <c r="AL88" s="75"/>
      <c r="AM88" s="78"/>
      <c r="AN88" s="57"/>
      <c r="AO88" s="58"/>
      <c r="AP88" s="121"/>
      <c r="AQ88" s="75"/>
      <c r="AR88" s="78"/>
      <c r="AS88" s="121"/>
      <c r="AT88" s="121"/>
      <c r="AU88" s="75"/>
      <c r="AV88" s="78"/>
      <c r="AW88" s="75"/>
      <c r="AX88" s="77"/>
      <c r="AY88" s="75"/>
      <c r="AZ88" s="77"/>
      <c r="BA88" s="57"/>
      <c r="BB88" s="58"/>
    </row>
    <row r="89" spans="1:54" x14ac:dyDescent="0.2">
      <c r="A89" s="24"/>
      <c r="B89" s="25" t="s">
        <v>121</v>
      </c>
      <c r="C89" s="26"/>
      <c r="D89" s="27"/>
      <c r="E89" s="28"/>
      <c r="F89" s="27"/>
      <c r="G89" s="28"/>
      <c r="H89" s="27"/>
      <c r="I89" s="28"/>
      <c r="J89" s="28"/>
      <c r="K89" s="28"/>
      <c r="L89" s="28"/>
      <c r="M89" s="28"/>
      <c r="N89" s="28"/>
      <c r="O89" s="28"/>
      <c r="P89" s="28"/>
      <c r="Q89" s="27"/>
      <c r="R89" s="28"/>
      <c r="S89" s="28"/>
      <c r="T89" s="28"/>
      <c r="U89" s="29"/>
      <c r="V89" s="28"/>
      <c r="W89" s="29"/>
      <c r="X89" s="28"/>
      <c r="Y89" s="31"/>
      <c r="Z89" s="30"/>
      <c r="AA89" s="31"/>
      <c r="AB89" s="31"/>
      <c r="AC89" s="31"/>
      <c r="AD89" s="31"/>
      <c r="AE89" s="29"/>
      <c r="AF89" s="28"/>
      <c r="AG89" s="27"/>
      <c r="AH89" s="27"/>
      <c r="AI89" s="32"/>
      <c r="AJ89" s="27"/>
      <c r="AK89" s="27"/>
      <c r="AL89" s="27"/>
      <c r="AM89" s="27"/>
      <c r="AN89" s="29"/>
      <c r="AO89" s="28"/>
      <c r="AP89" s="27"/>
      <c r="AQ89" s="29"/>
      <c r="AR89" s="28"/>
      <c r="AS89" s="27"/>
      <c r="AT89" s="27"/>
      <c r="AU89" s="27"/>
      <c r="AV89" s="28"/>
      <c r="AW89" s="27"/>
      <c r="AX89" s="28"/>
      <c r="AY89" s="27"/>
      <c r="AZ89" s="28"/>
      <c r="BA89" s="28"/>
      <c r="BB89" s="131"/>
    </row>
    <row r="90" spans="1:54" x14ac:dyDescent="0.2">
      <c r="A90" s="59"/>
      <c r="B90" s="132"/>
      <c r="C90" s="133"/>
      <c r="D90" s="34"/>
      <c r="E90" s="65"/>
      <c r="F90" s="34"/>
      <c r="G90" s="65"/>
      <c r="H90" s="34"/>
      <c r="I90" s="65"/>
      <c r="J90" s="117"/>
      <c r="K90" s="117"/>
      <c r="L90" s="117"/>
      <c r="M90" s="117"/>
      <c r="N90" s="117"/>
      <c r="O90" s="117"/>
      <c r="P90" s="117"/>
      <c r="Q90" s="34"/>
      <c r="R90" s="65"/>
      <c r="S90" s="117"/>
      <c r="T90" s="117"/>
      <c r="U90" s="34"/>
      <c r="V90" s="65"/>
      <c r="W90" s="34"/>
      <c r="X90" s="65"/>
      <c r="Y90" s="119"/>
      <c r="Z90" s="119"/>
      <c r="AA90" s="119"/>
      <c r="AB90" s="119"/>
      <c r="AC90" s="119"/>
      <c r="AD90" s="119"/>
      <c r="AE90" s="34"/>
      <c r="AF90" s="65"/>
      <c r="AG90" s="117"/>
      <c r="AH90" s="117"/>
      <c r="AI90" s="117"/>
      <c r="AJ90" s="33"/>
      <c r="AK90" s="65"/>
      <c r="AL90" s="34"/>
      <c r="AM90" s="65"/>
      <c r="AN90" s="34"/>
      <c r="AO90" s="65"/>
      <c r="AP90" s="117"/>
      <c r="AQ90" s="34"/>
      <c r="AR90" s="65"/>
      <c r="AS90" s="117"/>
      <c r="AT90" s="117"/>
      <c r="AU90" s="34"/>
      <c r="AV90" s="65"/>
      <c r="AW90" s="34"/>
      <c r="AX90" s="65"/>
      <c r="AY90" s="34"/>
      <c r="AZ90" s="65"/>
      <c r="BA90" s="34"/>
      <c r="BB90" s="65"/>
    </row>
    <row r="91" spans="1:54" ht="51" x14ac:dyDescent="0.2">
      <c r="A91" s="201">
        <v>2996</v>
      </c>
      <c r="B91" s="202" t="s">
        <v>122</v>
      </c>
      <c r="C91" s="42">
        <v>48.9</v>
      </c>
      <c r="D91" s="42">
        <f t="shared" ref="D91" si="106">ROUND(E91*C91,1)</f>
        <v>3128.8</v>
      </c>
      <c r="E91" s="123">
        <f>RCFs!C$43</f>
        <v>63.983120993999997</v>
      </c>
      <c r="F91" s="203">
        <f t="shared" ref="F91" si="107">ROUNDDOWN($C91*G91,1)</f>
        <v>817</v>
      </c>
      <c r="G91" s="204">
        <f>RCFs!C$5</f>
        <v>16.707999999999998</v>
      </c>
      <c r="H91" s="175">
        <f t="shared" ref="H91" si="108">ROUNDDOWN($C91*I91,1)</f>
        <v>817</v>
      </c>
      <c r="I91" s="204">
        <f>RCFs!C$5</f>
        <v>16.707999999999998</v>
      </c>
      <c r="J91" s="205">
        <f t="shared" ref="J91:P92" si="109">ROUND($C91*$I91*J$6,1)</f>
        <v>898.7</v>
      </c>
      <c r="K91" s="205">
        <f t="shared" si="109"/>
        <v>1119.3</v>
      </c>
      <c r="L91" s="205">
        <f t="shared" si="109"/>
        <v>1201</v>
      </c>
      <c r="M91" s="205">
        <f t="shared" si="109"/>
        <v>1323.6</v>
      </c>
      <c r="N91" s="205">
        <f t="shared" si="109"/>
        <v>1634</v>
      </c>
      <c r="O91" s="205">
        <f t="shared" si="109"/>
        <v>1756.6</v>
      </c>
      <c r="P91" s="205">
        <f t="shared" si="109"/>
        <v>2451.1</v>
      </c>
      <c r="Q91" s="175">
        <f t="shared" ref="Q91" si="110">ROUNDDOWN(R91*C91,1)</f>
        <v>804.4</v>
      </c>
      <c r="R91" s="206">
        <f>RCFs!C$7</f>
        <v>16.45</v>
      </c>
      <c r="S91" s="205">
        <f t="shared" ref="S91:T92" si="111">ROUNDDOWN($Q91*S$6,1)</f>
        <v>1045.7</v>
      </c>
      <c r="T91" s="205">
        <f t="shared" si="111"/>
        <v>1206.5999999999999</v>
      </c>
      <c r="U91" s="175">
        <f t="shared" ref="U91" si="112">ROUND(V91*C91,1)</f>
        <v>791.8</v>
      </c>
      <c r="V91" s="206">
        <f>RCFs!C$9</f>
        <v>16.192</v>
      </c>
      <c r="W91" s="175">
        <f t="shared" ref="W91" si="113">ROUND(X91*C91,1)</f>
        <v>791.8</v>
      </c>
      <c r="X91" s="206">
        <f t="shared" ref="X91" si="114">V91</f>
        <v>16.192</v>
      </c>
      <c r="Y91" s="205">
        <f t="shared" ref="Y91:Y92" si="115">ROUNDDOWN($W91*Y$6,1)</f>
        <v>870.9</v>
      </c>
      <c r="Z91" s="205">
        <f t="shared" ref="Z91:AD92" si="116">ROUND($C91*$X91*Z$6,1)</f>
        <v>1084.8</v>
      </c>
      <c r="AA91" s="205">
        <f t="shared" si="116"/>
        <v>1282.7</v>
      </c>
      <c r="AB91" s="205">
        <f t="shared" si="116"/>
        <v>1163.9000000000001</v>
      </c>
      <c r="AC91" s="205">
        <f t="shared" si="116"/>
        <v>1718.2</v>
      </c>
      <c r="AD91" s="205">
        <f t="shared" si="116"/>
        <v>2375.4</v>
      </c>
      <c r="AE91" s="175">
        <f t="shared" ref="AE91" si="117">ROUND(AF91*C91,1)</f>
        <v>758.9</v>
      </c>
      <c r="AF91" s="206">
        <f>RCFs!C$13</f>
        <v>15.52</v>
      </c>
      <c r="AG91" s="207">
        <f t="shared" ref="AG91:AI92" si="118">ROUND($AE91*AG$6,1)</f>
        <v>1252.2</v>
      </c>
      <c r="AH91" s="207">
        <f t="shared" si="118"/>
        <v>1593.7</v>
      </c>
      <c r="AI91" s="207">
        <f t="shared" si="118"/>
        <v>2276.6999999999998</v>
      </c>
      <c r="AJ91" s="175">
        <f t="shared" ref="AJ91" si="119">ROUNDDOWN(C91*AK91,1)</f>
        <v>802.6</v>
      </c>
      <c r="AK91" s="206">
        <f>RCFs!C$25</f>
        <v>16.413333333333334</v>
      </c>
      <c r="AL91" s="175">
        <f t="shared" ref="AL91" si="120">ROUNDDOWN(C91*AM91,1)</f>
        <v>1079.5</v>
      </c>
      <c r="AM91" s="206">
        <f>RCFs!C$29</f>
        <v>22.076666666666664</v>
      </c>
      <c r="AN91" s="175">
        <f t="shared" ref="AN91" si="121">ROUNDDOWN(C91*AO91,1)</f>
        <v>862.2</v>
      </c>
      <c r="AO91" s="206">
        <f>RCFs!C$33</f>
        <v>17.632999999999999</v>
      </c>
      <c r="AP91" s="207">
        <f t="shared" ref="AP91" si="122">ROUNDDOWN(AN91*AP$6,1)</f>
        <v>1293.3</v>
      </c>
      <c r="AQ91" s="203">
        <f t="shared" ref="AQ91:AQ92" si="123">ROUNDDOWN($C91*AR91,1)</f>
        <v>852.3</v>
      </c>
      <c r="AR91" s="206">
        <f>RCFs!C$35</f>
        <v>17.43</v>
      </c>
      <c r="AS91" s="207">
        <f t="shared" ref="AS91" si="124">ROUNDDOWN(AQ91*AS$6,1)</f>
        <v>1107.9000000000001</v>
      </c>
      <c r="AT91" s="207">
        <f t="shared" ref="AT91" si="125">ROUNDDOWN(AR91*AT$6,1)</f>
        <v>25.2</v>
      </c>
      <c r="AU91" s="203">
        <f t="shared" ref="AU91:AU92" si="126">ROUNDDOWN($C91*AV91,1)</f>
        <v>835.7</v>
      </c>
      <c r="AV91" s="203">
        <f>RCFs!C$37</f>
        <v>17.09</v>
      </c>
      <c r="AW91" s="124">
        <f t="shared" ref="AW91:AW92" si="127">ROUNDDOWN(AX91*C91,1)</f>
        <v>837.4</v>
      </c>
      <c r="AX91" s="125">
        <f>RCFs!C$64</f>
        <v>17.125999999999998</v>
      </c>
      <c r="AY91" s="203">
        <f t="shared" ref="AY91:AY92" si="128">ROUNDDOWN($C91*AZ91,1)</f>
        <v>853.3</v>
      </c>
      <c r="AZ91" s="206">
        <f>RCFs!C$39</f>
        <v>17.45</v>
      </c>
      <c r="BA91" s="203">
        <f t="shared" ref="BA91:BA92" si="129">ROUNDDOWN($C91*BB91,1)</f>
        <v>815.6</v>
      </c>
      <c r="BB91" s="206">
        <f>RCFs!C$41</f>
        <v>16.678999999999998</v>
      </c>
    </row>
    <row r="92" spans="1:54" s="67" customFormat="1" ht="14.25" customHeight="1" x14ac:dyDescent="0.2">
      <c r="A92" s="201">
        <v>2998</v>
      </c>
      <c r="B92" s="202" t="s">
        <v>123</v>
      </c>
      <c r="C92" s="42">
        <v>12.3</v>
      </c>
      <c r="D92" s="42">
        <f t="shared" ref="D92" si="130">ROUND(E92*C92,1)</f>
        <v>787</v>
      </c>
      <c r="E92" s="123">
        <f>RCFs!C$43</f>
        <v>63.983120993999997</v>
      </c>
      <c r="F92" s="203">
        <f t="shared" ref="F92" si="131">ROUNDDOWN($C92*G92,1)</f>
        <v>205.5</v>
      </c>
      <c r="G92" s="204">
        <f>RCFs!C$5</f>
        <v>16.707999999999998</v>
      </c>
      <c r="H92" s="175">
        <f t="shared" ref="H92" si="132">ROUNDDOWN($C92*I92,1)</f>
        <v>205.5</v>
      </c>
      <c r="I92" s="204">
        <f>RCFs!C$5</f>
        <v>16.707999999999998</v>
      </c>
      <c r="J92" s="205">
        <f t="shared" si="109"/>
        <v>226.1</v>
      </c>
      <c r="K92" s="205">
        <f t="shared" si="109"/>
        <v>281.5</v>
      </c>
      <c r="L92" s="205">
        <f t="shared" si="109"/>
        <v>302.10000000000002</v>
      </c>
      <c r="M92" s="205">
        <f t="shared" si="109"/>
        <v>332.9</v>
      </c>
      <c r="N92" s="205">
        <f t="shared" si="109"/>
        <v>411</v>
      </c>
      <c r="O92" s="205">
        <f t="shared" si="109"/>
        <v>441.8</v>
      </c>
      <c r="P92" s="205">
        <f t="shared" si="109"/>
        <v>616.5</v>
      </c>
      <c r="Q92" s="175">
        <f t="shared" ref="Q92" si="133">ROUNDDOWN(R92*C92,1)</f>
        <v>202.3</v>
      </c>
      <c r="R92" s="206">
        <f>RCFs!C$7</f>
        <v>16.45</v>
      </c>
      <c r="S92" s="205">
        <f t="shared" si="111"/>
        <v>262.89999999999998</v>
      </c>
      <c r="T92" s="205">
        <f t="shared" si="111"/>
        <v>303.39999999999998</v>
      </c>
      <c r="U92" s="175">
        <f t="shared" ref="U92" si="134">ROUND(V92*C92,1)</f>
        <v>199.2</v>
      </c>
      <c r="V92" s="206">
        <f>RCFs!C$9</f>
        <v>16.192</v>
      </c>
      <c r="W92" s="175">
        <f t="shared" ref="W92" si="135">ROUND(X92*C92,1)</f>
        <v>199.2</v>
      </c>
      <c r="X92" s="206">
        <f t="shared" ref="X92" si="136">V92</f>
        <v>16.192</v>
      </c>
      <c r="Y92" s="205">
        <f t="shared" si="115"/>
        <v>219.1</v>
      </c>
      <c r="Z92" s="205">
        <f t="shared" si="116"/>
        <v>272.89999999999998</v>
      </c>
      <c r="AA92" s="205">
        <f t="shared" si="116"/>
        <v>322.60000000000002</v>
      </c>
      <c r="AB92" s="205">
        <f t="shared" si="116"/>
        <v>292.8</v>
      </c>
      <c r="AC92" s="205">
        <f t="shared" si="116"/>
        <v>432.2</v>
      </c>
      <c r="AD92" s="205">
        <f t="shared" si="116"/>
        <v>597.5</v>
      </c>
      <c r="AE92" s="175">
        <f t="shared" ref="AE92" si="137">ROUND(AF92*C92,1)</f>
        <v>190.9</v>
      </c>
      <c r="AF92" s="206">
        <f>RCFs!C$13</f>
        <v>15.52</v>
      </c>
      <c r="AG92" s="207">
        <f t="shared" si="118"/>
        <v>315</v>
      </c>
      <c r="AH92" s="207">
        <f t="shared" si="118"/>
        <v>400.9</v>
      </c>
      <c r="AI92" s="207">
        <f t="shared" si="118"/>
        <v>572.70000000000005</v>
      </c>
      <c r="AJ92" s="175">
        <f t="shared" ref="AJ92" si="138">ROUNDDOWN(C92*AK92,1)</f>
        <v>201.8</v>
      </c>
      <c r="AK92" s="206">
        <f>RCFs!C$25</f>
        <v>16.413333333333334</v>
      </c>
      <c r="AL92" s="175">
        <f t="shared" ref="AL92" si="139">ROUNDDOWN(C92*AM92,1)</f>
        <v>271.5</v>
      </c>
      <c r="AM92" s="206">
        <f>RCFs!C$29</f>
        <v>22.076666666666664</v>
      </c>
      <c r="AN92" s="175">
        <f t="shared" ref="AN92" si="140">ROUNDDOWN(C92*AO92,1)</f>
        <v>216.8</v>
      </c>
      <c r="AO92" s="206">
        <f>RCFs!C$33</f>
        <v>17.632999999999999</v>
      </c>
      <c r="AP92" s="207">
        <f t="shared" ref="AP92" si="141">ROUNDDOWN(AN92*AP$6,1)</f>
        <v>325.2</v>
      </c>
      <c r="AQ92" s="203">
        <f t="shared" si="123"/>
        <v>214.3</v>
      </c>
      <c r="AR92" s="206">
        <f>RCFs!C$35</f>
        <v>17.43</v>
      </c>
      <c r="AS92" s="207">
        <f t="shared" ref="AS92" si="142">ROUNDDOWN(AQ92*AS$6,1)</f>
        <v>278.5</v>
      </c>
      <c r="AT92" s="207">
        <f t="shared" ref="AT92" si="143">ROUNDDOWN(AR92*AT$6,1)</f>
        <v>25.2</v>
      </c>
      <c r="AU92" s="203">
        <f t="shared" si="126"/>
        <v>210.2</v>
      </c>
      <c r="AV92" s="203">
        <f>RCFs!C$37</f>
        <v>17.09</v>
      </c>
      <c r="AW92" s="124">
        <f t="shared" si="127"/>
        <v>210.6</v>
      </c>
      <c r="AX92" s="125">
        <f>RCFs!C$64</f>
        <v>17.125999999999998</v>
      </c>
      <c r="AY92" s="203">
        <f t="shared" si="128"/>
        <v>214.6</v>
      </c>
      <c r="AZ92" s="206">
        <f>RCFs!C$39</f>
        <v>17.45</v>
      </c>
      <c r="BA92" s="203">
        <f t="shared" si="129"/>
        <v>205.1</v>
      </c>
      <c r="BB92" s="206">
        <f>RCFs!C$41</f>
        <v>16.678999999999998</v>
      </c>
    </row>
    <row r="93" spans="1:54" s="67" customFormat="1" x14ac:dyDescent="0.2">
      <c r="A93" s="147"/>
      <c r="B93" s="148"/>
      <c r="C93" s="149"/>
      <c r="D93" s="149"/>
      <c r="E93" s="150"/>
      <c r="F93" s="184"/>
      <c r="G93" s="150"/>
      <c r="H93" s="151"/>
      <c r="I93" s="152"/>
      <c r="J93" s="153"/>
      <c r="K93" s="153"/>
      <c r="L93" s="153"/>
      <c r="M93" s="153"/>
      <c r="N93" s="153"/>
      <c r="O93" s="153"/>
      <c r="P93" s="153"/>
      <c r="Q93" s="151"/>
      <c r="R93" s="152"/>
      <c r="S93" s="153"/>
      <c r="T93" s="153"/>
      <c r="U93" s="151"/>
      <c r="V93" s="152"/>
      <c r="W93" s="151"/>
      <c r="X93" s="152"/>
      <c r="Y93" s="153"/>
      <c r="Z93" s="153"/>
      <c r="AA93" s="153"/>
      <c r="AB93" s="153"/>
      <c r="AC93" s="153"/>
      <c r="AD93" s="153"/>
      <c r="AE93" s="151"/>
      <c r="AF93" s="152"/>
      <c r="AG93" s="153"/>
      <c r="AH93" s="153"/>
      <c r="AI93" s="153"/>
      <c r="AJ93" s="151"/>
      <c r="AK93" s="152"/>
      <c r="AL93" s="151"/>
      <c r="AM93" s="152"/>
      <c r="AN93" s="151"/>
      <c r="AO93" s="152"/>
      <c r="AP93" s="153"/>
      <c r="AQ93" s="151"/>
      <c r="AR93" s="152"/>
      <c r="AS93" s="153"/>
      <c r="AT93" s="153"/>
      <c r="AU93" s="149"/>
      <c r="AV93" s="154"/>
      <c r="AW93" s="149"/>
      <c r="AX93" s="154"/>
      <c r="AY93" s="151"/>
      <c r="AZ93" s="152"/>
      <c r="BA93" s="151"/>
      <c r="BB93" s="152"/>
    </row>
    <row r="94" spans="1:54" x14ac:dyDescent="0.2">
      <c r="A94" s="293" t="s">
        <v>233</v>
      </c>
      <c r="B94" s="294"/>
      <c r="C94" s="294"/>
      <c r="D94" s="294"/>
      <c r="E94" s="295"/>
      <c r="F94" s="295"/>
      <c r="G94" s="295"/>
      <c r="H94" s="296"/>
      <c r="I94" s="295"/>
      <c r="J94" s="297"/>
      <c r="K94" s="297"/>
      <c r="L94" s="297"/>
      <c r="M94" s="297"/>
      <c r="N94" s="297"/>
      <c r="O94" s="297"/>
      <c r="P94" s="297"/>
      <c r="Q94" s="296"/>
      <c r="R94" s="295"/>
      <c r="S94" s="297"/>
      <c r="T94" s="297"/>
      <c r="U94" s="298"/>
      <c r="V94" s="299"/>
      <c r="W94" s="298"/>
      <c r="X94" s="299"/>
      <c r="Y94" s="294"/>
      <c r="Z94" s="294"/>
      <c r="AA94" s="294"/>
      <c r="AB94" s="294"/>
      <c r="AC94" s="294"/>
      <c r="AD94" s="294"/>
      <c r="AE94" s="296"/>
      <c r="AF94" s="296"/>
      <c r="AG94" s="296"/>
      <c r="AH94" s="296"/>
      <c r="AI94" s="296"/>
      <c r="AJ94" s="294"/>
      <c r="AK94" s="299"/>
      <c r="AL94" s="294"/>
      <c r="AM94" s="299"/>
      <c r="AN94" s="300"/>
      <c r="AO94" s="297"/>
      <c r="AP94" s="296"/>
      <c r="AQ94" s="296"/>
      <c r="AR94" s="296"/>
      <c r="AS94" s="296"/>
      <c r="AT94" s="296"/>
      <c r="AU94" s="296"/>
      <c r="AV94" s="296"/>
      <c r="AW94" s="296"/>
      <c r="AX94" s="295"/>
      <c r="AY94" s="296"/>
      <c r="AZ94" s="295"/>
      <c r="BA94" s="300"/>
      <c r="BB94" s="301"/>
    </row>
    <row r="95" spans="1:54" x14ac:dyDescent="0.2">
      <c r="A95" s="258" t="s">
        <v>68</v>
      </c>
      <c r="B95" s="79"/>
      <c r="C95" s="80"/>
      <c r="D95" s="81"/>
      <c r="E95" s="82"/>
      <c r="F95" s="82"/>
      <c r="G95" s="82"/>
      <c r="H95" s="82"/>
      <c r="I95" s="82"/>
      <c r="J95" s="82"/>
      <c r="K95" s="82"/>
      <c r="L95" s="82"/>
      <c r="M95" s="82"/>
      <c r="N95" s="82"/>
      <c r="O95" s="82"/>
      <c r="P95" s="82"/>
      <c r="Q95" s="82"/>
      <c r="R95" s="82"/>
      <c r="S95" s="82"/>
      <c r="T95" s="82"/>
      <c r="U95" s="81"/>
      <c r="V95" s="82"/>
      <c r="W95" s="81"/>
      <c r="X95" s="82"/>
      <c r="Y95" s="79"/>
      <c r="Z95" s="79"/>
      <c r="AA95" s="79"/>
      <c r="AB95" s="79"/>
      <c r="AC95" s="79"/>
      <c r="AD95" s="79"/>
      <c r="AE95" s="81"/>
      <c r="AF95" s="82"/>
      <c r="AG95" s="82"/>
      <c r="AH95" s="82"/>
      <c r="AI95" s="82"/>
      <c r="AJ95" s="81"/>
      <c r="AK95" s="82"/>
      <c r="AL95" s="81"/>
      <c r="AM95" s="82"/>
      <c r="AN95" s="81"/>
      <c r="AO95" s="82"/>
      <c r="AP95" s="82"/>
      <c r="AQ95" s="81"/>
      <c r="AR95" s="82"/>
      <c r="AS95" s="82"/>
      <c r="AT95" s="82"/>
      <c r="AU95" s="81"/>
      <c r="AV95" s="82"/>
      <c r="AW95" s="81"/>
      <c r="AX95" s="82"/>
      <c r="AY95" s="81"/>
      <c r="AZ95" s="82"/>
      <c r="BA95" s="82"/>
      <c r="BB95" s="83"/>
    </row>
    <row r="96" spans="1:54" x14ac:dyDescent="0.2">
      <c r="A96" s="277" t="s">
        <v>148</v>
      </c>
      <c r="B96" s="260"/>
      <c r="C96" s="260"/>
      <c r="D96" s="260"/>
      <c r="E96" s="260"/>
      <c r="F96" s="261"/>
      <c r="G96" s="261"/>
      <c r="H96" s="261"/>
      <c r="I96" s="261"/>
      <c r="J96" s="262"/>
      <c r="K96" s="262"/>
      <c r="L96" s="262"/>
      <c r="M96" s="262"/>
      <c r="N96" s="262"/>
      <c r="O96" s="262"/>
      <c r="P96" s="262"/>
      <c r="Q96" s="261"/>
      <c r="R96" s="261"/>
      <c r="S96" s="262"/>
      <c r="T96" s="262"/>
      <c r="U96" s="261"/>
      <c r="V96" s="261"/>
      <c r="W96" s="261"/>
      <c r="X96" s="261"/>
      <c r="Y96" s="263"/>
      <c r="Z96" s="263"/>
      <c r="AA96" s="263"/>
      <c r="AB96" s="263"/>
      <c r="AC96" s="263"/>
      <c r="AD96" s="263"/>
      <c r="AE96" s="261"/>
      <c r="AF96" s="261"/>
      <c r="AG96" s="85"/>
      <c r="AH96" s="85"/>
      <c r="AI96" s="85"/>
      <c r="AJ96" s="261"/>
      <c r="AK96" s="261"/>
      <c r="AL96" s="261"/>
      <c r="AM96" s="261"/>
      <c r="AN96" s="141"/>
      <c r="AO96" s="261"/>
      <c r="AP96" s="85"/>
      <c r="AQ96" s="141"/>
      <c r="AR96" s="261"/>
      <c r="AS96" s="85"/>
      <c r="AT96" s="85"/>
      <c r="AU96" s="141"/>
      <c r="AV96" s="261"/>
      <c r="AW96" s="304"/>
      <c r="AX96" s="349"/>
      <c r="AY96" s="141"/>
      <c r="AZ96" s="182"/>
      <c r="BA96" s="261"/>
      <c r="BB96" s="142"/>
    </row>
    <row r="97" spans="1:54" x14ac:dyDescent="0.2">
      <c r="A97" s="143" t="s">
        <v>240</v>
      </c>
      <c r="B97" s="260"/>
      <c r="C97" s="260"/>
      <c r="D97" s="260"/>
      <c r="E97" s="260"/>
      <c r="F97" s="261"/>
      <c r="G97" s="261"/>
      <c r="H97" s="261"/>
      <c r="I97" s="261"/>
      <c r="J97" s="262"/>
      <c r="K97" s="262"/>
      <c r="L97" s="262"/>
      <c r="M97" s="262"/>
      <c r="N97" s="262"/>
      <c r="O97" s="262"/>
      <c r="P97" s="262"/>
      <c r="Q97" s="261"/>
      <c r="R97" s="261"/>
      <c r="S97" s="262"/>
      <c r="T97" s="262"/>
      <c r="U97" s="261"/>
      <c r="V97" s="261"/>
      <c r="W97" s="261"/>
      <c r="X97" s="261"/>
      <c r="Y97" s="263"/>
      <c r="Z97" s="263"/>
      <c r="AA97" s="263"/>
      <c r="AB97" s="263"/>
      <c r="AC97" s="263"/>
      <c r="AD97" s="263"/>
      <c r="AE97" s="261"/>
      <c r="AF97" s="261"/>
      <c r="AG97" s="85"/>
      <c r="AH97" s="85"/>
      <c r="AI97" s="85"/>
      <c r="AJ97" s="261"/>
      <c r="AK97" s="261"/>
      <c r="AL97" s="261"/>
      <c r="AM97" s="261"/>
      <c r="AN97" s="141"/>
      <c r="AO97" s="261"/>
      <c r="AP97" s="85"/>
      <c r="AQ97" s="141"/>
      <c r="AR97" s="261"/>
      <c r="AS97" s="85"/>
      <c r="AT97" s="85"/>
      <c r="AU97" s="141"/>
      <c r="AV97" s="261"/>
      <c r="AW97" s="304"/>
      <c r="AX97" s="349"/>
      <c r="AY97" s="141"/>
      <c r="AZ97" s="182"/>
      <c r="BA97" s="261"/>
      <c r="BB97" s="142"/>
    </row>
    <row r="98" spans="1:54" x14ac:dyDescent="0.2">
      <c r="A98" s="278" t="s">
        <v>219</v>
      </c>
      <c r="B98" s="261"/>
      <c r="C98" s="263"/>
      <c r="D98" s="84"/>
      <c r="E98" s="85"/>
      <c r="F98" s="85"/>
      <c r="G98" s="85"/>
      <c r="H98" s="85"/>
      <c r="I98" s="85"/>
      <c r="J98" s="262"/>
      <c r="K98" s="262"/>
      <c r="L98" s="262"/>
      <c r="M98" s="262"/>
      <c r="N98" s="262"/>
      <c r="O98" s="262"/>
      <c r="P98" s="262"/>
      <c r="Q98" s="85"/>
      <c r="R98" s="85"/>
      <c r="S98" s="262"/>
      <c r="T98" s="262"/>
      <c r="U98" s="84"/>
      <c r="V98" s="85"/>
      <c r="W98" s="84"/>
      <c r="X98" s="85"/>
      <c r="Y98" s="263"/>
      <c r="Z98" s="263"/>
      <c r="AA98" s="263"/>
      <c r="AB98" s="263"/>
      <c r="AC98" s="263"/>
      <c r="AD98" s="263"/>
      <c r="AE98" s="84"/>
      <c r="AF98" s="85"/>
      <c r="AG98" s="85"/>
      <c r="AH98" s="85"/>
      <c r="AI98" s="85"/>
      <c r="AJ98" s="84"/>
      <c r="AK98" s="85"/>
      <c r="AL98" s="84"/>
      <c r="AM98" s="85"/>
      <c r="AN98" s="84"/>
      <c r="AO98" s="85"/>
      <c r="AP98" s="85"/>
      <c r="AQ98" s="84"/>
      <c r="AR98" s="85"/>
      <c r="AS98" s="85"/>
      <c r="AT98" s="85"/>
      <c r="AU98" s="84"/>
      <c r="AV98" s="85"/>
      <c r="AW98" s="84"/>
      <c r="AX98" s="85"/>
      <c r="AY98" s="84"/>
      <c r="AZ98" s="85"/>
      <c r="BA98" s="85"/>
      <c r="BB98" s="86"/>
    </row>
    <row r="99" spans="1:54" x14ac:dyDescent="0.2">
      <c r="A99" s="259" t="s">
        <v>220</v>
      </c>
      <c r="B99" s="261"/>
      <c r="C99" s="263"/>
      <c r="D99" s="84"/>
      <c r="E99" s="85"/>
      <c r="F99" s="85"/>
      <c r="G99" s="85"/>
      <c r="H99" s="85"/>
      <c r="I99" s="85"/>
      <c r="J99" s="85"/>
      <c r="K99" s="85"/>
      <c r="L99" s="85"/>
      <c r="M99" s="85"/>
      <c r="N99" s="85"/>
      <c r="O99" s="85"/>
      <c r="P99" s="85"/>
      <c r="Q99" s="85"/>
      <c r="R99" s="85"/>
      <c r="S99" s="85"/>
      <c r="T99" s="85"/>
      <c r="U99" s="84"/>
      <c r="V99" s="85"/>
      <c r="W99" s="84"/>
      <c r="X99" s="85"/>
      <c r="Y99" s="263"/>
      <c r="Z99" s="263"/>
      <c r="AA99" s="263"/>
      <c r="AB99" s="263"/>
      <c r="AC99" s="263"/>
      <c r="AD99" s="263"/>
      <c r="AE99" s="84"/>
      <c r="AF99" s="85"/>
      <c r="AG99" s="85"/>
      <c r="AH99" s="85"/>
      <c r="AI99" s="85"/>
      <c r="AJ99" s="84"/>
      <c r="AK99" s="85"/>
      <c r="AL99" s="84"/>
      <c r="AM99" s="85"/>
      <c r="AN99" s="84"/>
      <c r="AO99" s="85"/>
      <c r="AP99" s="85"/>
      <c r="AQ99" s="84"/>
      <c r="AR99" s="85"/>
      <c r="AS99" s="85"/>
      <c r="AT99" s="85"/>
      <c r="AU99" s="84"/>
      <c r="AV99" s="85"/>
      <c r="AW99" s="84"/>
      <c r="AX99" s="85"/>
      <c r="AY99" s="84"/>
      <c r="AZ99" s="85"/>
      <c r="BA99" s="85"/>
      <c r="BB99" s="86"/>
    </row>
    <row r="100" spans="1:54" x14ac:dyDescent="0.2">
      <c r="A100" s="277" t="s">
        <v>241</v>
      </c>
      <c r="B100" s="261"/>
      <c r="C100" s="263"/>
      <c r="D100" s="84"/>
      <c r="E100" s="85"/>
      <c r="F100" s="85"/>
      <c r="G100" s="85"/>
      <c r="H100" s="85"/>
      <c r="I100" s="85"/>
      <c r="J100" s="85"/>
      <c r="K100" s="85"/>
      <c r="L100" s="85"/>
      <c r="M100" s="85"/>
      <c r="N100" s="85"/>
      <c r="O100" s="85"/>
      <c r="P100" s="85"/>
      <c r="Q100" s="85"/>
      <c r="R100" s="85"/>
      <c r="S100" s="85"/>
      <c r="T100" s="85"/>
      <c r="U100" s="84"/>
      <c r="V100" s="85"/>
      <c r="W100" s="84"/>
      <c r="X100" s="85"/>
      <c r="Y100" s="263"/>
      <c r="Z100" s="263"/>
      <c r="AA100" s="263"/>
      <c r="AB100" s="263"/>
      <c r="AC100" s="263"/>
      <c r="AD100" s="263"/>
      <c r="AE100" s="84"/>
      <c r="AF100" s="85"/>
      <c r="AG100" s="85"/>
      <c r="AH100" s="85"/>
      <c r="AI100" s="85"/>
      <c r="AJ100" s="84"/>
      <c r="AK100" s="85"/>
      <c r="AL100" s="84"/>
      <c r="AM100" s="85"/>
      <c r="AN100" s="84"/>
      <c r="AO100" s="85"/>
      <c r="AP100" s="85"/>
      <c r="AQ100" s="84"/>
      <c r="AR100" s="85"/>
      <c r="AS100" s="85"/>
      <c r="AT100" s="85"/>
      <c r="AU100" s="84"/>
      <c r="AV100" s="85"/>
      <c r="AW100" s="84"/>
      <c r="AX100" s="85"/>
      <c r="AY100" s="84"/>
      <c r="AZ100" s="85"/>
      <c r="BA100" s="85"/>
      <c r="BB100" s="86"/>
    </row>
    <row r="101" spans="1:54" x14ac:dyDescent="0.2">
      <c r="A101" s="279" t="s">
        <v>234</v>
      </c>
      <c r="B101" s="261"/>
      <c r="C101" s="263"/>
      <c r="D101" s="84"/>
      <c r="E101" s="85"/>
      <c r="F101" s="85"/>
      <c r="G101" s="85"/>
      <c r="H101" s="85"/>
      <c r="I101" s="85"/>
      <c r="J101" s="85"/>
      <c r="K101" s="85"/>
      <c r="L101" s="85"/>
      <c r="M101" s="85"/>
      <c r="N101" s="85"/>
      <c r="O101" s="85"/>
      <c r="P101" s="85"/>
      <c r="Q101" s="85"/>
      <c r="R101" s="85"/>
      <c r="S101" s="85"/>
      <c r="T101" s="85"/>
      <c r="U101" s="84"/>
      <c r="V101" s="85"/>
      <c r="W101" s="84"/>
      <c r="X101" s="85"/>
      <c r="Y101" s="263"/>
      <c r="Z101" s="263"/>
      <c r="AA101" s="263"/>
      <c r="AB101" s="263"/>
      <c r="AC101" s="263"/>
      <c r="AD101" s="263"/>
      <c r="AE101" s="84"/>
      <c r="AF101" s="85"/>
      <c r="AG101" s="85"/>
      <c r="AH101" s="85"/>
      <c r="AI101" s="85"/>
      <c r="AJ101" s="84"/>
      <c r="AK101" s="85"/>
      <c r="AL101" s="84"/>
      <c r="AM101" s="85"/>
      <c r="AN101" s="84"/>
      <c r="AO101" s="85"/>
      <c r="AP101" s="85"/>
      <c r="AQ101" s="84"/>
      <c r="AR101" s="85"/>
      <c r="AS101" s="85"/>
      <c r="AT101" s="85"/>
      <c r="AU101" s="84"/>
      <c r="AV101" s="85"/>
      <c r="AW101" s="84"/>
      <c r="AX101" s="85"/>
      <c r="AY101" s="84"/>
      <c r="AZ101" s="85"/>
      <c r="BA101" s="85"/>
      <c r="BB101" s="86"/>
    </row>
    <row r="102" spans="1:54" x14ac:dyDescent="0.2">
      <c r="A102" s="280" t="s">
        <v>235</v>
      </c>
      <c r="B102" s="261"/>
      <c r="C102" s="263"/>
      <c r="D102" s="84"/>
      <c r="E102" s="85"/>
      <c r="F102" s="85"/>
      <c r="G102" s="85"/>
      <c r="H102" s="85"/>
      <c r="I102" s="85"/>
      <c r="J102" s="85"/>
      <c r="K102" s="85"/>
      <c r="L102" s="85"/>
      <c r="M102" s="85"/>
      <c r="N102" s="85"/>
      <c r="O102" s="85"/>
      <c r="P102" s="85"/>
      <c r="Q102" s="85"/>
      <c r="R102" s="85"/>
      <c r="S102" s="85"/>
      <c r="T102" s="85"/>
      <c r="U102" s="84"/>
      <c r="V102" s="85"/>
      <c r="W102" s="84"/>
      <c r="X102" s="85"/>
      <c r="Y102" s="263"/>
      <c r="Z102" s="263"/>
      <c r="AA102" s="263"/>
      <c r="AB102" s="263"/>
      <c r="AC102" s="263"/>
      <c r="AD102" s="263"/>
      <c r="AE102" s="84"/>
      <c r="AF102" s="85"/>
      <c r="AG102" s="85"/>
      <c r="AH102" s="85"/>
      <c r="AI102" s="85"/>
      <c r="AJ102" s="84"/>
      <c r="AK102" s="85"/>
      <c r="AL102" s="84"/>
      <c r="AM102" s="85"/>
      <c r="AN102" s="84"/>
      <c r="AO102" s="85"/>
      <c r="AP102" s="85"/>
      <c r="AQ102" s="84"/>
      <c r="AR102" s="85"/>
      <c r="AS102" s="85"/>
      <c r="AT102" s="85"/>
      <c r="AU102" s="84"/>
      <c r="AV102" s="85"/>
      <c r="AW102" s="84"/>
      <c r="AX102" s="85"/>
      <c r="AY102" s="84"/>
      <c r="AZ102" s="85"/>
      <c r="BA102" s="85"/>
      <c r="BB102" s="86"/>
    </row>
    <row r="103" spans="1:54" x14ac:dyDescent="0.2">
      <c r="A103" s="279" t="s">
        <v>236</v>
      </c>
      <c r="B103" s="261"/>
      <c r="C103" s="263"/>
      <c r="D103" s="84"/>
      <c r="E103" s="85"/>
      <c r="F103" s="85"/>
      <c r="G103" s="85"/>
      <c r="H103" s="85"/>
      <c r="I103" s="85"/>
      <c r="J103" s="85"/>
      <c r="K103" s="85"/>
      <c r="L103" s="85"/>
      <c r="M103" s="85"/>
      <c r="N103" s="85"/>
      <c r="O103" s="85"/>
      <c r="P103" s="85"/>
      <c r="Q103" s="85"/>
      <c r="R103" s="85"/>
      <c r="S103" s="85"/>
      <c r="T103" s="85"/>
      <c r="U103" s="84"/>
      <c r="V103" s="85"/>
      <c r="W103" s="84"/>
      <c r="X103" s="85"/>
      <c r="Y103" s="263"/>
      <c r="Z103" s="263"/>
      <c r="AA103" s="263"/>
      <c r="AB103" s="263"/>
      <c r="AC103" s="263"/>
      <c r="AD103" s="263"/>
      <c r="AE103" s="84"/>
      <c r="AF103" s="85"/>
      <c r="AG103" s="85"/>
      <c r="AH103" s="85"/>
      <c r="AI103" s="85"/>
      <c r="AJ103" s="84"/>
      <c r="AK103" s="85"/>
      <c r="AL103" s="84"/>
      <c r="AM103" s="85"/>
      <c r="AN103" s="84"/>
      <c r="AO103" s="85"/>
      <c r="AP103" s="85"/>
      <c r="AQ103" s="84"/>
      <c r="AR103" s="85"/>
      <c r="AS103" s="85"/>
      <c r="AT103" s="85"/>
      <c r="AU103" s="84"/>
      <c r="AV103" s="85"/>
      <c r="AW103" s="84"/>
      <c r="AX103" s="85"/>
      <c r="AY103" s="84"/>
      <c r="AZ103" s="85"/>
      <c r="BA103" s="85"/>
      <c r="BB103" s="86"/>
    </row>
    <row r="104" spans="1:54" x14ac:dyDescent="0.2">
      <c r="A104" s="281" t="s">
        <v>242</v>
      </c>
      <c r="B104" s="261"/>
      <c r="C104" s="263"/>
      <c r="D104" s="84"/>
      <c r="E104" s="85"/>
      <c r="F104" s="85"/>
      <c r="G104" s="85"/>
      <c r="H104" s="85"/>
      <c r="I104" s="85"/>
      <c r="J104" s="85"/>
      <c r="K104" s="85"/>
      <c r="L104" s="85"/>
      <c r="M104" s="85"/>
      <c r="N104" s="85"/>
      <c r="O104" s="85"/>
      <c r="P104" s="85"/>
      <c r="Q104" s="85"/>
      <c r="R104" s="85"/>
      <c r="S104" s="85"/>
      <c r="T104" s="85"/>
      <c r="U104" s="84"/>
      <c r="V104" s="85"/>
      <c r="W104" s="84"/>
      <c r="X104" s="85"/>
      <c r="Y104" s="263"/>
      <c r="Z104" s="263"/>
      <c r="AA104" s="263"/>
      <c r="AB104" s="263"/>
      <c r="AC104" s="263"/>
      <c r="AD104" s="263"/>
      <c r="AE104" s="84"/>
      <c r="AF104" s="85"/>
      <c r="AG104" s="85"/>
      <c r="AH104" s="85"/>
      <c r="AI104" s="85"/>
      <c r="AJ104" s="84"/>
      <c r="AK104" s="85"/>
      <c r="AL104" s="84"/>
      <c r="AM104" s="85"/>
      <c r="AN104" s="84"/>
      <c r="AO104" s="85"/>
      <c r="AP104" s="85"/>
      <c r="AQ104" s="84"/>
      <c r="AR104" s="85"/>
      <c r="AS104" s="85"/>
      <c r="AT104" s="85"/>
      <c r="AU104" s="84"/>
      <c r="AV104" s="85"/>
      <c r="AW104" s="84"/>
      <c r="AX104" s="85"/>
      <c r="AY104" s="84"/>
      <c r="AZ104" s="85"/>
      <c r="BA104" s="85"/>
      <c r="BB104" s="86"/>
    </row>
    <row r="105" spans="1:54" x14ac:dyDescent="0.2">
      <c r="A105" s="277" t="s">
        <v>221</v>
      </c>
      <c r="B105" s="261"/>
      <c r="C105" s="263"/>
      <c r="D105" s="84"/>
      <c r="E105" s="85"/>
      <c r="F105" s="85"/>
      <c r="G105" s="85"/>
      <c r="H105" s="85"/>
      <c r="I105" s="85"/>
      <c r="J105" s="85"/>
      <c r="K105" s="85"/>
      <c r="L105" s="85"/>
      <c r="M105" s="85"/>
      <c r="N105" s="85"/>
      <c r="O105" s="85"/>
      <c r="P105" s="85"/>
      <c r="Q105" s="85"/>
      <c r="R105" s="85"/>
      <c r="S105" s="85"/>
      <c r="T105" s="85"/>
      <c r="U105" s="84"/>
      <c r="V105" s="85"/>
      <c r="W105" s="84"/>
      <c r="X105" s="85"/>
      <c r="Y105" s="263"/>
      <c r="Z105" s="263"/>
      <c r="AA105" s="263"/>
      <c r="AB105" s="263"/>
      <c r="AC105" s="263"/>
      <c r="AD105" s="263"/>
      <c r="AE105" s="84"/>
      <c r="AF105" s="85"/>
      <c r="AG105" s="85"/>
      <c r="AH105" s="85"/>
      <c r="AI105" s="85"/>
      <c r="AJ105" s="84"/>
      <c r="AK105" s="85"/>
      <c r="AL105" s="84"/>
      <c r="AM105" s="85"/>
      <c r="AN105" s="84"/>
      <c r="AO105" s="85"/>
      <c r="AP105" s="85"/>
      <c r="AQ105" s="84"/>
      <c r="AR105" s="85"/>
      <c r="AS105" s="85"/>
      <c r="AT105" s="85"/>
      <c r="AU105" s="84"/>
      <c r="AV105" s="85"/>
      <c r="AW105" s="84"/>
      <c r="AX105" s="85"/>
      <c r="AY105" s="84"/>
      <c r="AZ105" s="85"/>
      <c r="BA105" s="85"/>
      <c r="BB105" s="86"/>
    </row>
    <row r="106" spans="1:54" x14ac:dyDescent="0.2">
      <c r="A106" s="259" t="s">
        <v>222</v>
      </c>
      <c r="B106" s="261"/>
      <c r="C106" s="263"/>
      <c r="D106" s="84"/>
      <c r="E106" s="85"/>
      <c r="F106" s="85"/>
      <c r="G106" s="85"/>
      <c r="H106" s="85"/>
      <c r="I106" s="85"/>
      <c r="J106" s="85"/>
      <c r="K106" s="85"/>
      <c r="L106" s="85"/>
      <c r="M106" s="85"/>
      <c r="N106" s="85"/>
      <c r="O106" s="85"/>
      <c r="P106" s="85"/>
      <c r="Q106" s="85"/>
      <c r="R106" s="85"/>
      <c r="S106" s="85"/>
      <c r="T106" s="85"/>
      <c r="U106" s="84"/>
      <c r="V106" s="85"/>
      <c r="W106" s="84"/>
      <c r="X106" s="85"/>
      <c r="Y106" s="263"/>
      <c r="Z106" s="263"/>
      <c r="AA106" s="263"/>
      <c r="AB106" s="263"/>
      <c r="AC106" s="263"/>
      <c r="AD106" s="263"/>
      <c r="AE106" s="84"/>
      <c r="AF106" s="85"/>
      <c r="AG106" s="85"/>
      <c r="AH106" s="85"/>
      <c r="AI106" s="85"/>
      <c r="AJ106" s="84"/>
      <c r="AK106" s="85"/>
      <c r="AL106" s="84"/>
      <c r="AM106" s="85"/>
      <c r="AN106" s="84"/>
      <c r="AO106" s="85"/>
      <c r="AP106" s="85"/>
      <c r="AQ106" s="84"/>
      <c r="AR106" s="85"/>
      <c r="AS106" s="85"/>
      <c r="AT106" s="85"/>
      <c r="AU106" s="84"/>
      <c r="AV106" s="85"/>
      <c r="AW106" s="84"/>
      <c r="AX106" s="85"/>
      <c r="AY106" s="84"/>
      <c r="AZ106" s="85"/>
      <c r="BA106" s="85"/>
      <c r="BB106" s="86"/>
    </row>
    <row r="107" spans="1:54" x14ac:dyDescent="0.2">
      <c r="A107" s="259" t="s">
        <v>223</v>
      </c>
      <c r="B107" s="261"/>
      <c r="C107" s="263"/>
      <c r="D107" s="84"/>
      <c r="E107" s="85"/>
      <c r="F107" s="85"/>
      <c r="G107" s="85"/>
      <c r="H107" s="85"/>
      <c r="I107" s="85"/>
      <c r="J107" s="85"/>
      <c r="K107" s="85"/>
      <c r="L107" s="85"/>
      <c r="M107" s="85"/>
      <c r="N107" s="85"/>
      <c r="O107" s="85"/>
      <c r="P107" s="85"/>
      <c r="Q107" s="85"/>
      <c r="R107" s="85"/>
      <c r="S107" s="85"/>
      <c r="T107" s="85"/>
      <c r="U107" s="84"/>
      <c r="V107" s="85"/>
      <c r="W107" s="84"/>
      <c r="X107" s="85"/>
      <c r="Y107" s="263"/>
      <c r="Z107" s="263"/>
      <c r="AA107" s="263"/>
      <c r="AB107" s="263"/>
      <c r="AC107" s="263"/>
      <c r="AD107" s="263"/>
      <c r="AE107" s="84"/>
      <c r="AF107" s="85"/>
      <c r="AG107" s="85"/>
      <c r="AH107" s="85"/>
      <c r="AI107" s="85"/>
      <c r="AJ107" s="84"/>
      <c r="AK107" s="85"/>
      <c r="AL107" s="84"/>
      <c r="AM107" s="85"/>
      <c r="AN107" s="84"/>
      <c r="AO107" s="85"/>
      <c r="AP107" s="85"/>
      <c r="AQ107" s="84"/>
      <c r="AR107" s="85"/>
      <c r="AS107" s="85"/>
      <c r="AT107" s="85"/>
      <c r="AU107" s="84"/>
      <c r="AV107" s="85"/>
      <c r="AW107" s="84"/>
      <c r="AX107" s="85"/>
      <c r="AY107" s="84"/>
      <c r="AZ107" s="85"/>
      <c r="BA107" s="85"/>
      <c r="BB107" s="86"/>
    </row>
    <row r="108" spans="1:54" x14ac:dyDescent="0.2">
      <c r="A108" s="264" t="s">
        <v>224</v>
      </c>
      <c r="B108" s="261"/>
      <c r="C108" s="263"/>
      <c r="D108" s="84"/>
      <c r="E108" s="85"/>
      <c r="F108" s="85"/>
      <c r="G108" s="85"/>
      <c r="H108" s="85"/>
      <c r="I108" s="85"/>
      <c r="J108" s="85"/>
      <c r="K108" s="85"/>
      <c r="L108" s="85"/>
      <c r="M108" s="85"/>
      <c r="N108" s="85"/>
      <c r="O108" s="85"/>
      <c r="P108" s="85"/>
      <c r="Q108" s="85"/>
      <c r="R108" s="85"/>
      <c r="S108" s="85"/>
      <c r="T108" s="85"/>
      <c r="U108" s="84"/>
      <c r="V108" s="85"/>
      <c r="W108" s="84"/>
      <c r="X108" s="85"/>
      <c r="Y108" s="263"/>
      <c r="Z108" s="263"/>
      <c r="AA108" s="263"/>
      <c r="AB108" s="263"/>
      <c r="AC108" s="263"/>
      <c r="AD108" s="263"/>
      <c r="AE108" s="84"/>
      <c r="AF108" s="85"/>
      <c r="AG108" s="85"/>
      <c r="AH108" s="85"/>
      <c r="AI108" s="85"/>
      <c r="AJ108" s="84"/>
      <c r="AK108" s="85"/>
      <c r="AL108" s="84"/>
      <c r="AM108" s="85"/>
      <c r="AN108" s="84"/>
      <c r="AO108" s="85"/>
      <c r="AP108" s="85"/>
      <c r="AQ108" s="84"/>
      <c r="AR108" s="85"/>
      <c r="AS108" s="85"/>
      <c r="AT108" s="85"/>
      <c r="AU108" s="84"/>
      <c r="AV108" s="85"/>
      <c r="AW108" s="84"/>
      <c r="AX108" s="85"/>
      <c r="AY108" s="84"/>
      <c r="AZ108" s="85"/>
      <c r="BA108" s="85"/>
      <c r="BB108" s="86"/>
    </row>
    <row r="109" spans="1:54" x14ac:dyDescent="0.2">
      <c r="A109" s="259" t="s">
        <v>225</v>
      </c>
      <c r="B109" s="261"/>
      <c r="C109" s="263"/>
      <c r="D109" s="84"/>
      <c r="E109" s="85"/>
      <c r="F109" s="85"/>
      <c r="G109" s="85"/>
      <c r="H109" s="85"/>
      <c r="I109" s="85"/>
      <c r="J109" s="85"/>
      <c r="K109" s="85"/>
      <c r="L109" s="85"/>
      <c r="M109" s="85"/>
      <c r="N109" s="85"/>
      <c r="O109" s="85"/>
      <c r="P109" s="85"/>
      <c r="Q109" s="85"/>
      <c r="R109" s="85"/>
      <c r="S109" s="85"/>
      <c r="T109" s="85"/>
      <c r="U109" s="84"/>
      <c r="V109" s="85"/>
      <c r="W109" s="84"/>
      <c r="X109" s="85"/>
      <c r="Y109" s="263"/>
      <c r="Z109" s="263"/>
      <c r="AA109" s="263"/>
      <c r="AB109" s="263"/>
      <c r="AC109" s="263"/>
      <c r="AD109" s="263"/>
      <c r="AE109" s="84"/>
      <c r="AF109" s="85"/>
      <c r="AG109" s="85"/>
      <c r="AH109" s="85"/>
      <c r="AI109" s="85"/>
      <c r="AJ109" s="84"/>
      <c r="AK109" s="85"/>
      <c r="AL109" s="84"/>
      <c r="AM109" s="85"/>
      <c r="AN109" s="84"/>
      <c r="AO109" s="85"/>
      <c r="AP109" s="85"/>
      <c r="AQ109" s="84"/>
      <c r="AR109" s="85"/>
      <c r="AS109" s="85"/>
      <c r="AT109" s="85"/>
      <c r="AU109" s="84"/>
      <c r="AV109" s="85"/>
      <c r="AW109" s="84"/>
      <c r="AX109" s="85"/>
      <c r="AY109" s="84"/>
      <c r="AZ109" s="85"/>
      <c r="BA109" s="85"/>
      <c r="BB109" s="86"/>
    </row>
    <row r="110" spans="1:54" ht="15" x14ac:dyDescent="0.25">
      <c r="A110" s="282" t="s">
        <v>237</v>
      </c>
      <c r="B110" s="261"/>
      <c r="C110" s="263"/>
      <c r="D110" s="84"/>
      <c r="E110" s="85"/>
      <c r="F110" s="85"/>
      <c r="G110" s="85"/>
      <c r="H110" s="85"/>
      <c r="I110" s="85"/>
      <c r="J110" s="85"/>
      <c r="K110" s="85"/>
      <c r="L110" s="85"/>
      <c r="M110" s="85"/>
      <c r="N110" s="85"/>
      <c r="O110" s="85"/>
      <c r="P110" s="85"/>
      <c r="Q110" s="85"/>
      <c r="R110" s="85"/>
      <c r="S110" s="85"/>
      <c r="T110" s="85"/>
      <c r="U110" s="84"/>
      <c r="V110" s="85"/>
      <c r="W110" s="84"/>
      <c r="X110" s="85"/>
      <c r="Y110" s="263"/>
      <c r="Z110" s="263"/>
      <c r="AA110" s="263"/>
      <c r="AB110" s="263"/>
      <c r="AC110" s="263"/>
      <c r="AD110" s="263"/>
      <c r="AE110" s="84"/>
      <c r="AF110" s="85"/>
      <c r="AG110" s="85"/>
      <c r="AH110" s="85"/>
      <c r="AI110" s="85"/>
      <c r="AJ110" s="84"/>
      <c r="AK110" s="85"/>
      <c r="AL110" s="84"/>
      <c r="AM110" s="85"/>
      <c r="AN110" s="84"/>
      <c r="AO110" s="85"/>
      <c r="AP110" s="85"/>
      <c r="AQ110" s="84"/>
      <c r="AR110" s="85"/>
      <c r="AS110" s="85"/>
      <c r="AT110" s="85"/>
      <c r="AU110" s="84"/>
      <c r="AV110" s="85"/>
      <c r="AW110" s="84"/>
      <c r="AX110" s="85"/>
      <c r="AY110" s="84"/>
      <c r="AZ110" s="85"/>
      <c r="BA110" s="85"/>
      <c r="BB110" s="86"/>
    </row>
    <row r="111" spans="1:54" x14ac:dyDescent="0.2">
      <c r="A111" s="265" t="s">
        <v>149</v>
      </c>
      <c r="B111" s="266"/>
      <c r="C111" s="266"/>
      <c r="D111" s="87"/>
      <c r="E111" s="88"/>
      <c r="F111" s="88"/>
      <c r="G111" s="88"/>
      <c r="H111" s="88"/>
      <c r="I111" s="88"/>
      <c r="J111" s="88"/>
      <c r="K111" s="88"/>
      <c r="L111" s="88"/>
      <c r="M111" s="88"/>
      <c r="N111" s="88"/>
      <c r="O111" s="88"/>
      <c r="P111" s="88"/>
      <c r="Q111" s="88"/>
      <c r="R111" s="88"/>
      <c r="S111" s="88"/>
      <c r="T111" s="88"/>
      <c r="U111" s="87"/>
      <c r="V111" s="88"/>
      <c r="W111" s="87"/>
      <c r="X111" s="88"/>
      <c r="Y111" s="266"/>
      <c r="Z111" s="266"/>
      <c r="AA111" s="266"/>
      <c r="AB111" s="266"/>
      <c r="AC111" s="266"/>
      <c r="AD111" s="266"/>
      <c r="AE111" s="87"/>
      <c r="AF111" s="88"/>
      <c r="AG111" s="88"/>
      <c r="AH111" s="88"/>
      <c r="AI111" s="88"/>
      <c r="AJ111" s="87"/>
      <c r="AK111" s="88"/>
      <c r="AL111" s="87"/>
      <c r="AM111" s="88"/>
      <c r="AN111" s="87"/>
      <c r="AO111" s="88"/>
      <c r="AP111" s="88"/>
      <c r="AQ111" s="87"/>
      <c r="AR111" s="88"/>
      <c r="AS111" s="88"/>
      <c r="AT111" s="88"/>
      <c r="AU111" s="87"/>
      <c r="AV111" s="88"/>
      <c r="AW111" s="87"/>
      <c r="AX111" s="88"/>
      <c r="AY111" s="87"/>
      <c r="AZ111" s="88"/>
      <c r="BA111" s="88"/>
      <c r="BB111" s="89"/>
    </row>
    <row r="112" spans="1:54" x14ac:dyDescent="0.2">
      <c r="A112" s="259" t="s">
        <v>178</v>
      </c>
      <c r="B112" s="263"/>
      <c r="C112" s="263"/>
      <c r="D112" s="84"/>
      <c r="E112" s="85"/>
      <c r="F112" s="85"/>
      <c r="G112" s="85"/>
      <c r="H112" s="85"/>
      <c r="I112" s="85"/>
      <c r="J112" s="85"/>
      <c r="K112" s="85"/>
      <c r="L112" s="85"/>
      <c r="M112" s="85"/>
      <c r="N112" s="85"/>
      <c r="O112" s="85"/>
      <c r="P112" s="85"/>
      <c r="Q112" s="85"/>
      <c r="R112" s="85"/>
      <c r="S112" s="85"/>
      <c r="T112" s="85"/>
      <c r="U112" s="84"/>
      <c r="V112" s="85"/>
      <c r="W112" s="84"/>
      <c r="X112" s="85"/>
      <c r="Y112" s="263"/>
      <c r="Z112" s="263"/>
      <c r="AA112" s="263"/>
      <c r="AB112" s="263"/>
      <c r="AC112" s="263"/>
      <c r="AD112" s="263"/>
      <c r="AE112" s="84"/>
      <c r="AF112" s="85"/>
      <c r="AG112" s="85"/>
      <c r="AH112" s="85"/>
      <c r="AI112" s="85"/>
      <c r="AJ112" s="84"/>
      <c r="AK112" s="85"/>
      <c r="AL112" s="84"/>
      <c r="AM112" s="85"/>
      <c r="AN112" s="84"/>
      <c r="AO112" s="85"/>
      <c r="AP112" s="85"/>
      <c r="AQ112" s="84"/>
      <c r="AR112" s="85"/>
      <c r="AS112" s="85"/>
      <c r="AT112" s="85"/>
      <c r="AU112" s="84"/>
      <c r="AV112" s="85"/>
      <c r="AW112" s="84"/>
      <c r="AX112" s="85"/>
      <c r="AY112" s="84"/>
      <c r="AZ112" s="85"/>
      <c r="BA112" s="85"/>
      <c r="BB112" s="86"/>
    </row>
    <row r="113" spans="1:54" x14ac:dyDescent="0.2">
      <c r="A113" s="267" t="s">
        <v>162</v>
      </c>
      <c r="B113" s="266"/>
      <c r="C113" s="266"/>
      <c r="D113" s="87"/>
      <c r="E113" s="88"/>
      <c r="F113" s="88"/>
      <c r="G113" s="88"/>
      <c r="H113" s="88"/>
      <c r="I113" s="88"/>
      <c r="J113" s="88"/>
      <c r="K113" s="88"/>
      <c r="L113" s="88"/>
      <c r="M113" s="88"/>
      <c r="N113" s="88"/>
      <c r="O113" s="88"/>
      <c r="P113" s="88"/>
      <c r="Q113" s="88"/>
      <c r="R113" s="88"/>
      <c r="S113" s="88"/>
      <c r="T113" s="88"/>
      <c r="U113" s="87"/>
      <c r="V113" s="88"/>
      <c r="W113" s="87"/>
      <c r="X113" s="88"/>
      <c r="Y113" s="266"/>
      <c r="Z113" s="266"/>
      <c r="AA113" s="266"/>
      <c r="AB113" s="266"/>
      <c r="AC113" s="266"/>
      <c r="AD113" s="266"/>
      <c r="AE113" s="87"/>
      <c r="AF113" s="88"/>
      <c r="AG113" s="88"/>
      <c r="AH113" s="88"/>
      <c r="AI113" s="88"/>
      <c r="AJ113" s="87"/>
      <c r="AK113" s="88"/>
      <c r="AL113" s="87"/>
      <c r="AM113" s="88"/>
      <c r="AN113" s="87"/>
      <c r="AO113" s="88"/>
      <c r="AP113" s="88"/>
      <c r="AQ113" s="87"/>
      <c r="AR113" s="88"/>
      <c r="AS113" s="88"/>
      <c r="AT113" s="88"/>
      <c r="AU113" s="87"/>
      <c r="AV113" s="88"/>
      <c r="AW113" s="87"/>
      <c r="AX113" s="88"/>
      <c r="AY113" s="87"/>
      <c r="AZ113" s="88"/>
      <c r="BA113" s="88"/>
      <c r="BB113" s="89"/>
    </row>
    <row r="114" spans="1:54" s="283" customFormat="1" x14ac:dyDescent="0.2">
      <c r="A114" s="268" t="s">
        <v>171</v>
      </c>
      <c r="B114" s="269"/>
      <c r="C114" s="269"/>
      <c r="D114" s="144"/>
      <c r="E114" s="145"/>
      <c r="F114" s="144"/>
      <c r="G114" s="145"/>
      <c r="H114" s="144"/>
      <c r="I114" s="145"/>
      <c r="J114" s="145"/>
      <c r="K114" s="145"/>
      <c r="L114" s="145"/>
      <c r="M114" s="145"/>
      <c r="N114" s="145"/>
      <c r="O114" s="145"/>
      <c r="P114" s="145"/>
      <c r="Q114" s="144"/>
      <c r="R114" s="145"/>
      <c r="S114" s="145"/>
      <c r="T114" s="145"/>
      <c r="U114" s="144"/>
      <c r="V114" s="145"/>
      <c r="W114" s="144"/>
      <c r="X114" s="145"/>
      <c r="Y114" s="269"/>
      <c r="Z114" s="269"/>
      <c r="AA114" s="269"/>
      <c r="AB114" s="269"/>
      <c r="AC114" s="269"/>
      <c r="AD114" s="269"/>
      <c r="AE114" s="144"/>
      <c r="AF114" s="145"/>
      <c r="AG114" s="145"/>
      <c r="AH114" s="145"/>
      <c r="AI114" s="145"/>
      <c r="AJ114" s="144"/>
      <c r="AK114" s="145"/>
      <c r="AL114" s="144"/>
      <c r="AM114" s="145"/>
      <c r="AN114" s="144"/>
      <c r="AO114" s="145"/>
      <c r="AP114" s="145"/>
      <c r="AQ114" s="144"/>
      <c r="AR114" s="145"/>
      <c r="AS114" s="145"/>
      <c r="AT114" s="145"/>
      <c r="AU114" s="144"/>
      <c r="AV114" s="145"/>
      <c r="AW114" s="144"/>
      <c r="AX114" s="145"/>
      <c r="AY114" s="144"/>
      <c r="AZ114" s="145"/>
      <c r="BA114" s="145"/>
      <c r="BB114" s="146"/>
    </row>
    <row r="115" spans="1:54" s="283" customFormat="1" x14ac:dyDescent="0.2">
      <c r="A115" s="270" t="s">
        <v>172</v>
      </c>
      <c r="B115" s="269"/>
      <c r="C115" s="269"/>
      <c r="D115" s="144"/>
      <c r="E115" s="145"/>
      <c r="F115" s="144"/>
      <c r="G115" s="145"/>
      <c r="H115" s="144"/>
      <c r="I115" s="145"/>
      <c r="J115" s="145"/>
      <c r="K115" s="145"/>
      <c r="L115" s="145"/>
      <c r="M115" s="145"/>
      <c r="N115" s="145"/>
      <c r="O115" s="145"/>
      <c r="P115" s="145"/>
      <c r="Q115" s="144"/>
      <c r="R115" s="145"/>
      <c r="S115" s="145"/>
      <c r="T115" s="145"/>
      <c r="U115" s="144"/>
      <c r="V115" s="145"/>
      <c r="W115" s="144"/>
      <c r="X115" s="145"/>
      <c r="Y115" s="269"/>
      <c r="Z115" s="269"/>
      <c r="AA115" s="269"/>
      <c r="AB115" s="269"/>
      <c r="AC115" s="269"/>
      <c r="AD115" s="269"/>
      <c r="AE115" s="144"/>
      <c r="AF115" s="145"/>
      <c r="AG115" s="145"/>
      <c r="AH115" s="145"/>
      <c r="AI115" s="145"/>
      <c r="AJ115" s="144"/>
      <c r="AK115" s="145"/>
      <c r="AL115" s="144"/>
      <c r="AM115" s="145"/>
      <c r="AN115" s="144"/>
      <c r="AO115" s="145"/>
      <c r="AP115" s="145"/>
      <c r="AQ115" s="144"/>
      <c r="AR115" s="145"/>
      <c r="AS115" s="145"/>
      <c r="AT115" s="145"/>
      <c r="AU115" s="144"/>
      <c r="AV115" s="145"/>
      <c r="AW115" s="144"/>
      <c r="AX115" s="145"/>
      <c r="AY115" s="144"/>
      <c r="AZ115" s="145"/>
      <c r="BA115" s="145"/>
      <c r="BB115" s="146"/>
    </row>
    <row r="116" spans="1:54" s="283" customFormat="1" x14ac:dyDescent="0.2">
      <c r="A116" s="284" t="s">
        <v>243</v>
      </c>
      <c r="B116" s="269"/>
      <c r="C116" s="269"/>
      <c r="D116" s="144"/>
      <c r="E116" s="145"/>
      <c r="F116" s="144"/>
      <c r="G116" s="145"/>
      <c r="H116" s="144"/>
      <c r="I116" s="145"/>
      <c r="J116" s="145"/>
      <c r="K116" s="145"/>
      <c r="L116" s="145"/>
      <c r="M116" s="145"/>
      <c r="N116" s="145"/>
      <c r="O116" s="145"/>
      <c r="P116" s="145"/>
      <c r="Q116" s="144"/>
      <c r="R116" s="145"/>
      <c r="S116" s="145"/>
      <c r="T116" s="145"/>
      <c r="U116" s="144"/>
      <c r="V116" s="145"/>
      <c r="W116" s="144"/>
      <c r="X116" s="145"/>
      <c r="Y116" s="269"/>
      <c r="Z116" s="269"/>
      <c r="AA116" s="269"/>
      <c r="AB116" s="269"/>
      <c r="AC116" s="269"/>
      <c r="AD116" s="269"/>
      <c r="AE116" s="144"/>
      <c r="AF116" s="145"/>
      <c r="AG116" s="145"/>
      <c r="AH116" s="145"/>
      <c r="AI116" s="145"/>
      <c r="AJ116" s="144"/>
      <c r="AK116" s="145"/>
      <c r="AL116" s="144"/>
      <c r="AM116" s="145"/>
      <c r="AN116" s="144"/>
      <c r="AO116" s="145"/>
      <c r="AP116" s="145"/>
      <c r="AQ116" s="144"/>
      <c r="AR116" s="145"/>
      <c r="AS116" s="145"/>
      <c r="AT116" s="145"/>
      <c r="AU116" s="144"/>
      <c r="AV116" s="145"/>
      <c r="AW116" s="144"/>
      <c r="AX116" s="145"/>
      <c r="AY116" s="144"/>
      <c r="AZ116" s="145"/>
      <c r="BA116" s="145"/>
      <c r="BB116" s="146"/>
    </row>
    <row r="117" spans="1:54" s="290" customFormat="1" x14ac:dyDescent="0.2">
      <c r="A117" s="285" t="s">
        <v>238</v>
      </c>
      <c r="B117" s="286"/>
      <c r="C117" s="286"/>
      <c r="D117" s="287"/>
      <c r="E117" s="288"/>
      <c r="F117" s="287"/>
      <c r="G117" s="288"/>
      <c r="H117" s="287"/>
      <c r="I117" s="288"/>
      <c r="J117" s="288"/>
      <c r="K117" s="288"/>
      <c r="L117" s="288"/>
      <c r="M117" s="288"/>
      <c r="N117" s="288"/>
      <c r="O117" s="288"/>
      <c r="P117" s="288"/>
      <c r="Q117" s="287"/>
      <c r="R117" s="288"/>
      <c r="S117" s="288"/>
      <c r="T117" s="288"/>
      <c r="U117" s="287"/>
      <c r="V117" s="288"/>
      <c r="W117" s="287"/>
      <c r="X117" s="288"/>
      <c r="Y117" s="286"/>
      <c r="Z117" s="286"/>
      <c r="AA117" s="286"/>
      <c r="AB117" s="286"/>
      <c r="AC117" s="286"/>
      <c r="AD117" s="286"/>
      <c r="AE117" s="287"/>
      <c r="AF117" s="288"/>
      <c r="AG117" s="288"/>
      <c r="AH117" s="288"/>
      <c r="AI117" s="288"/>
      <c r="AJ117" s="287"/>
      <c r="AK117" s="288"/>
      <c r="AL117" s="287"/>
      <c r="AM117" s="288"/>
      <c r="AN117" s="287"/>
      <c r="AO117" s="288"/>
      <c r="AP117" s="288"/>
      <c r="AQ117" s="287"/>
      <c r="AR117" s="288"/>
      <c r="AS117" s="288"/>
      <c r="AT117" s="288"/>
      <c r="AU117" s="287"/>
      <c r="AV117" s="288"/>
      <c r="AW117" s="287"/>
      <c r="AX117" s="288"/>
      <c r="AY117" s="287"/>
      <c r="AZ117" s="288"/>
      <c r="BA117" s="288"/>
      <c r="BB117" s="289"/>
    </row>
    <row r="118" spans="1:54" s="283" customFormat="1" x14ac:dyDescent="0.2">
      <c r="A118" s="291" t="s">
        <v>226</v>
      </c>
      <c r="B118" s="269"/>
      <c r="C118" s="269"/>
      <c r="D118" s="144"/>
      <c r="E118" s="145"/>
      <c r="F118" s="144"/>
      <c r="G118" s="145"/>
      <c r="H118" s="144"/>
      <c r="I118" s="145"/>
      <c r="J118" s="145"/>
      <c r="K118" s="145"/>
      <c r="L118" s="145"/>
      <c r="M118" s="145"/>
      <c r="N118" s="145"/>
      <c r="O118" s="145"/>
      <c r="P118" s="145"/>
      <c r="Q118" s="144"/>
      <c r="R118" s="145"/>
      <c r="S118" s="145"/>
      <c r="T118" s="145"/>
      <c r="U118" s="144"/>
      <c r="V118" s="145"/>
      <c r="W118" s="144"/>
      <c r="X118" s="145"/>
      <c r="Y118" s="269"/>
      <c r="Z118" s="269"/>
      <c r="AA118" s="269"/>
      <c r="AB118" s="269"/>
      <c r="AC118" s="269"/>
      <c r="AD118" s="269"/>
      <c r="AE118" s="144"/>
      <c r="AF118" s="145"/>
      <c r="AG118" s="145"/>
      <c r="AH118" s="145"/>
      <c r="AI118" s="145"/>
      <c r="AJ118" s="144"/>
      <c r="AK118" s="145"/>
      <c r="AL118" s="144"/>
      <c r="AM118" s="145"/>
      <c r="AN118" s="144"/>
      <c r="AO118" s="145"/>
      <c r="AP118" s="145"/>
      <c r="AQ118" s="144"/>
      <c r="AR118" s="145"/>
      <c r="AS118" s="145"/>
      <c r="AT118" s="145"/>
      <c r="AU118" s="144"/>
      <c r="AV118" s="145"/>
      <c r="AW118" s="144"/>
      <c r="AX118" s="145"/>
      <c r="AY118" s="144"/>
      <c r="AZ118" s="145"/>
      <c r="BA118" s="145"/>
      <c r="BB118" s="146"/>
    </row>
    <row r="119" spans="1:54" s="292" customFormat="1" x14ac:dyDescent="0.2">
      <c r="A119" s="265"/>
      <c r="B119" s="266"/>
      <c r="C119" s="266"/>
      <c r="D119" s="87"/>
      <c r="E119" s="88"/>
      <c r="F119" s="87"/>
      <c r="G119" s="88"/>
      <c r="H119" s="87"/>
      <c r="I119" s="88"/>
      <c r="J119" s="88"/>
      <c r="K119" s="88"/>
      <c r="L119" s="88"/>
      <c r="M119" s="88"/>
      <c r="N119" s="88"/>
      <c r="O119" s="88"/>
      <c r="P119" s="88"/>
      <c r="Q119" s="87"/>
      <c r="R119" s="88"/>
      <c r="S119" s="88"/>
      <c r="T119" s="88"/>
      <c r="U119" s="87"/>
      <c r="V119" s="88"/>
      <c r="W119" s="87"/>
      <c r="X119" s="88"/>
      <c r="Y119" s="266"/>
      <c r="Z119" s="266"/>
      <c r="AA119" s="266"/>
      <c r="AB119" s="266"/>
      <c r="AC119" s="266"/>
      <c r="AD119" s="266"/>
      <c r="AE119" s="87"/>
      <c r="AF119" s="88"/>
      <c r="AG119" s="88"/>
      <c r="AH119" s="88"/>
      <c r="AI119" s="88"/>
      <c r="AJ119" s="87"/>
      <c r="AK119" s="88"/>
      <c r="AL119" s="87"/>
      <c r="AM119" s="88"/>
      <c r="AN119" s="87"/>
      <c r="AO119" s="88"/>
      <c r="AP119" s="88"/>
      <c r="AQ119" s="87"/>
      <c r="AR119" s="88"/>
      <c r="AS119" s="88"/>
      <c r="AT119" s="88"/>
      <c r="AU119" s="87"/>
      <c r="AV119" s="88"/>
      <c r="AW119" s="87"/>
      <c r="AX119" s="88"/>
      <c r="AY119" s="87"/>
      <c r="AZ119" s="88"/>
      <c r="BA119" s="88"/>
      <c r="BB119" s="89"/>
    </row>
    <row r="120" spans="1:54" s="292" customFormat="1" x14ac:dyDescent="0.2">
      <c r="A120" s="306" t="s">
        <v>66</v>
      </c>
      <c r="B120" s="307"/>
      <c r="C120" s="308"/>
      <c r="D120" s="309"/>
      <c r="E120" s="310"/>
      <c r="F120" s="309"/>
      <c r="G120" s="310"/>
      <c r="H120" s="309"/>
      <c r="I120" s="310"/>
      <c r="J120" s="310"/>
      <c r="K120" s="310"/>
      <c r="L120" s="310"/>
      <c r="M120" s="310"/>
      <c r="N120" s="310"/>
      <c r="O120" s="310"/>
      <c r="P120" s="310"/>
      <c r="Q120" s="309"/>
      <c r="R120" s="310"/>
      <c r="S120" s="310"/>
      <c r="T120" s="310"/>
      <c r="U120" s="309"/>
      <c r="V120" s="310"/>
      <c r="W120" s="309"/>
      <c r="X120" s="310"/>
      <c r="Y120" s="307"/>
      <c r="Z120" s="307"/>
      <c r="AA120" s="307"/>
      <c r="AB120" s="307"/>
      <c r="AC120" s="307"/>
      <c r="AD120" s="307"/>
      <c r="AE120" s="309"/>
      <c r="AF120" s="310"/>
      <c r="AG120" s="310"/>
      <c r="AH120" s="310"/>
      <c r="AI120" s="310"/>
      <c r="AJ120" s="309"/>
      <c r="AK120" s="310"/>
      <c r="AL120" s="309"/>
      <c r="AM120" s="310"/>
      <c r="AN120" s="309"/>
      <c r="AO120" s="310"/>
      <c r="AP120" s="310"/>
      <c r="AQ120" s="309"/>
      <c r="AR120" s="310"/>
      <c r="AS120" s="310"/>
      <c r="AT120" s="310"/>
      <c r="AU120" s="309"/>
      <c r="AV120" s="310"/>
      <c r="AW120" s="309"/>
      <c r="AX120" s="310"/>
      <c r="AY120" s="309"/>
      <c r="AZ120" s="310"/>
      <c r="BA120" s="310"/>
      <c r="BB120" s="311"/>
    </row>
    <row r="121" spans="1:54" x14ac:dyDescent="0.2">
      <c r="A121" s="312" t="s">
        <v>69</v>
      </c>
      <c r="B121" s="313"/>
      <c r="C121" s="313"/>
      <c r="D121" s="313"/>
      <c r="E121" s="313"/>
      <c r="F121" s="314"/>
      <c r="G121" s="313"/>
      <c r="H121" s="314"/>
      <c r="I121" s="313"/>
      <c r="J121" s="313"/>
      <c r="K121" s="313"/>
      <c r="L121" s="313"/>
      <c r="M121" s="313"/>
      <c r="N121" s="313"/>
      <c r="O121" s="313"/>
      <c r="P121" s="313"/>
      <c r="Q121" s="314"/>
      <c r="R121" s="313"/>
      <c r="S121" s="313"/>
      <c r="T121" s="313"/>
      <c r="U121" s="313"/>
      <c r="V121" s="313"/>
      <c r="W121" s="313"/>
      <c r="X121" s="313"/>
      <c r="Y121" s="313"/>
      <c r="Z121" s="313"/>
      <c r="AA121" s="313"/>
      <c r="AB121" s="313"/>
      <c r="AC121" s="313"/>
      <c r="AD121" s="313"/>
      <c r="AE121" s="313"/>
      <c r="AF121" s="313"/>
      <c r="AG121" s="313"/>
      <c r="AH121" s="313"/>
      <c r="AI121" s="313"/>
      <c r="AJ121" s="315"/>
      <c r="AK121" s="313"/>
      <c r="AL121" s="315"/>
      <c r="AM121" s="313"/>
      <c r="AN121" s="314"/>
      <c r="AO121" s="313"/>
      <c r="AP121" s="313"/>
      <c r="AQ121" s="314"/>
      <c r="AR121" s="313"/>
      <c r="AS121" s="313"/>
      <c r="AT121" s="313"/>
      <c r="AU121" s="314"/>
      <c r="AV121" s="313"/>
      <c r="AW121" s="316"/>
      <c r="AX121" s="350"/>
      <c r="AY121" s="314"/>
      <c r="AZ121" s="317"/>
      <c r="BA121" s="313"/>
      <c r="BB121" s="318"/>
    </row>
    <row r="122" spans="1:54" x14ac:dyDescent="0.2">
      <c r="A122" s="319"/>
      <c r="B122" s="320"/>
      <c r="C122" s="321"/>
      <c r="D122" s="322"/>
      <c r="E122" s="323"/>
      <c r="F122" s="322"/>
      <c r="G122" s="323"/>
      <c r="H122" s="322"/>
      <c r="I122" s="323"/>
      <c r="J122" s="323"/>
      <c r="K122" s="323"/>
      <c r="L122" s="323"/>
      <c r="M122" s="323"/>
      <c r="N122" s="323"/>
      <c r="O122" s="323"/>
      <c r="P122" s="323"/>
      <c r="Q122" s="322"/>
      <c r="R122" s="323"/>
      <c r="S122" s="323"/>
      <c r="T122" s="323"/>
      <c r="U122" s="322"/>
      <c r="V122" s="323"/>
      <c r="W122" s="322"/>
      <c r="X122" s="323"/>
      <c r="Y122" s="320"/>
      <c r="Z122" s="320"/>
      <c r="AA122" s="320"/>
      <c r="AB122" s="320"/>
      <c r="AC122" s="320"/>
      <c r="AD122" s="320"/>
      <c r="AE122" s="322"/>
      <c r="AF122" s="323"/>
      <c r="AG122" s="323"/>
      <c r="AH122" s="323"/>
      <c r="AI122" s="323"/>
      <c r="AJ122" s="322"/>
      <c r="AK122" s="323"/>
      <c r="AL122" s="322"/>
      <c r="AM122" s="323"/>
      <c r="AN122" s="322"/>
      <c r="AO122" s="323"/>
      <c r="AP122" s="323"/>
      <c r="AQ122" s="322"/>
      <c r="AR122" s="323"/>
      <c r="AS122" s="323"/>
      <c r="AT122" s="323"/>
      <c r="AU122" s="322"/>
      <c r="AV122" s="323"/>
      <c r="AW122" s="322"/>
      <c r="AX122" s="323"/>
      <c r="AY122" s="322"/>
      <c r="AZ122" s="323"/>
      <c r="BA122" s="323"/>
      <c r="BB122" s="324"/>
    </row>
    <row r="123" spans="1:54" x14ac:dyDescent="0.2">
      <c r="A123" s="90" t="s">
        <v>71</v>
      </c>
      <c r="B123" s="91"/>
      <c r="C123" s="92"/>
      <c r="D123" s="93"/>
      <c r="E123" s="94"/>
      <c r="F123" s="93"/>
      <c r="G123" s="94"/>
      <c r="H123" s="93"/>
      <c r="I123" s="94"/>
      <c r="J123" s="94"/>
      <c r="K123" s="94"/>
      <c r="L123" s="94"/>
      <c r="M123" s="94"/>
      <c r="N123" s="94"/>
      <c r="O123" s="94"/>
      <c r="P123" s="94"/>
      <c r="Q123" s="93"/>
      <c r="R123" s="94"/>
      <c r="S123" s="94"/>
      <c r="T123" s="94"/>
      <c r="U123" s="93"/>
      <c r="V123" s="94"/>
      <c r="W123" s="93"/>
      <c r="X123" s="94"/>
      <c r="Y123" s="91"/>
      <c r="Z123" s="91"/>
      <c r="AA123" s="91"/>
      <c r="AB123" s="91"/>
      <c r="AC123" s="91"/>
      <c r="AD123" s="91"/>
      <c r="AE123" s="93"/>
      <c r="AF123" s="94"/>
      <c r="AG123" s="94"/>
      <c r="AH123" s="94"/>
      <c r="AI123" s="94"/>
      <c r="AJ123" s="93"/>
      <c r="AK123" s="94"/>
      <c r="AL123" s="93"/>
      <c r="AM123" s="94"/>
      <c r="AN123" s="93"/>
      <c r="AO123" s="94"/>
      <c r="AP123" s="94"/>
      <c r="AQ123" s="93"/>
      <c r="AR123" s="94"/>
      <c r="AS123" s="94"/>
      <c r="AT123" s="94"/>
      <c r="AU123" s="93"/>
      <c r="AV123" s="94"/>
      <c r="AW123" s="93"/>
      <c r="AX123" s="94"/>
      <c r="AY123" s="93"/>
      <c r="AZ123" s="94"/>
      <c r="BA123" s="94"/>
      <c r="BB123" s="95"/>
    </row>
    <row r="124" spans="1:54" x14ac:dyDescent="0.2">
      <c r="A124" s="271" t="s">
        <v>72</v>
      </c>
      <c r="B124" s="272"/>
      <c r="C124" s="272"/>
      <c r="D124" s="272"/>
      <c r="E124" s="272"/>
      <c r="F124" s="105"/>
      <c r="G124" s="272"/>
      <c r="H124" s="105"/>
      <c r="I124" s="272"/>
      <c r="J124" s="272"/>
      <c r="K124" s="272"/>
      <c r="L124" s="272"/>
      <c r="M124" s="272"/>
      <c r="N124" s="272"/>
      <c r="O124" s="272"/>
      <c r="P124" s="272"/>
      <c r="Q124" s="105"/>
      <c r="R124" s="272"/>
      <c r="S124" s="272"/>
      <c r="T124" s="272"/>
      <c r="U124" s="272"/>
      <c r="V124" s="272"/>
      <c r="W124" s="272"/>
      <c r="X124" s="272"/>
      <c r="Y124" s="272"/>
      <c r="Z124" s="272"/>
      <c r="AA124" s="272"/>
      <c r="AB124" s="272"/>
      <c r="AC124" s="272"/>
      <c r="AD124" s="272"/>
      <c r="AE124" s="272"/>
      <c r="AF124" s="272"/>
      <c r="AG124" s="272"/>
      <c r="AH124" s="272"/>
      <c r="AI124" s="272"/>
      <c r="AJ124" s="273"/>
      <c r="AK124" s="272"/>
      <c r="AL124" s="273"/>
      <c r="AM124" s="272"/>
      <c r="AN124" s="105"/>
      <c r="AO124" s="272"/>
      <c r="AP124" s="272"/>
      <c r="AQ124" s="105"/>
      <c r="AR124" s="272"/>
      <c r="AS124" s="272"/>
      <c r="AT124" s="272"/>
      <c r="AU124" s="105"/>
      <c r="AV124" s="272"/>
      <c r="AW124" s="305"/>
      <c r="AX124" s="351"/>
      <c r="AY124" s="105"/>
      <c r="AZ124" s="183"/>
      <c r="BA124" s="272"/>
      <c r="BB124" s="96"/>
    </row>
    <row r="125" spans="1:54" x14ac:dyDescent="0.2">
      <c r="A125" s="271" t="s">
        <v>73</v>
      </c>
      <c r="B125" s="272"/>
      <c r="C125" s="272"/>
      <c r="D125" s="272"/>
      <c r="E125" s="272"/>
      <c r="F125" s="105"/>
      <c r="G125" s="272"/>
      <c r="H125" s="105"/>
      <c r="I125" s="272"/>
      <c r="J125" s="272"/>
      <c r="K125" s="272"/>
      <c r="L125" s="272"/>
      <c r="M125" s="272"/>
      <c r="N125" s="272"/>
      <c r="O125" s="272"/>
      <c r="P125" s="272"/>
      <c r="Q125" s="105"/>
      <c r="R125" s="272"/>
      <c r="S125" s="272"/>
      <c r="T125" s="272"/>
      <c r="U125" s="272"/>
      <c r="V125" s="272"/>
      <c r="W125" s="272"/>
      <c r="X125" s="272"/>
      <c r="Y125" s="272"/>
      <c r="Z125" s="272"/>
      <c r="AA125" s="272"/>
      <c r="AB125" s="272"/>
      <c r="AC125" s="272"/>
      <c r="AD125" s="272"/>
      <c r="AE125" s="272"/>
      <c r="AF125" s="272"/>
      <c r="AG125" s="272"/>
      <c r="AH125" s="272"/>
      <c r="AI125" s="272"/>
      <c r="AJ125" s="273"/>
      <c r="AK125" s="272"/>
      <c r="AL125" s="273"/>
      <c r="AM125" s="272"/>
      <c r="AN125" s="105"/>
      <c r="AO125" s="272"/>
      <c r="AP125" s="272"/>
      <c r="AQ125" s="105"/>
      <c r="AR125" s="272"/>
      <c r="AS125" s="272"/>
      <c r="AT125" s="272"/>
      <c r="AU125" s="105"/>
      <c r="AV125" s="272"/>
      <c r="AW125" s="305"/>
      <c r="AX125" s="351"/>
      <c r="AY125" s="105"/>
      <c r="AZ125" s="183"/>
      <c r="BA125" s="272"/>
      <c r="BB125" s="96"/>
    </row>
    <row r="126" spans="1:54" x14ac:dyDescent="0.2">
      <c r="A126" s="271" t="s">
        <v>74</v>
      </c>
      <c r="B126" s="272"/>
      <c r="C126" s="272"/>
      <c r="D126" s="272"/>
      <c r="E126" s="272"/>
      <c r="F126" s="105"/>
      <c r="G126" s="272"/>
      <c r="H126" s="105"/>
      <c r="I126" s="272"/>
      <c r="J126" s="272"/>
      <c r="K126" s="272"/>
      <c r="L126" s="272"/>
      <c r="M126" s="272"/>
      <c r="N126" s="272"/>
      <c r="O126" s="272"/>
      <c r="P126" s="272"/>
      <c r="Q126" s="105"/>
      <c r="R126" s="272"/>
      <c r="S126" s="272"/>
      <c r="T126" s="272"/>
      <c r="U126" s="272"/>
      <c r="V126" s="272"/>
      <c r="W126" s="272"/>
      <c r="X126" s="272"/>
      <c r="Y126" s="272"/>
      <c r="Z126" s="272"/>
      <c r="AA126" s="272"/>
      <c r="AB126" s="272"/>
      <c r="AC126" s="272"/>
      <c r="AD126" s="272"/>
      <c r="AE126" s="272"/>
      <c r="AF126" s="272"/>
      <c r="AG126" s="272"/>
      <c r="AH126" s="272"/>
      <c r="AI126" s="272"/>
      <c r="AJ126" s="273"/>
      <c r="AK126" s="272"/>
      <c r="AL126" s="273"/>
      <c r="AM126" s="272"/>
      <c r="AN126" s="105"/>
      <c r="AO126" s="272"/>
      <c r="AP126" s="272"/>
      <c r="AQ126" s="105"/>
      <c r="AR126" s="272"/>
      <c r="AS126" s="272"/>
      <c r="AT126" s="272"/>
      <c r="AU126" s="105"/>
      <c r="AV126" s="272"/>
      <c r="AW126" s="305"/>
      <c r="AX126" s="351"/>
      <c r="AY126" s="105"/>
      <c r="AZ126" s="183"/>
      <c r="BA126" s="272"/>
      <c r="BB126" s="96"/>
    </row>
    <row r="127" spans="1:54" x14ac:dyDescent="0.2">
      <c r="A127" s="271" t="s">
        <v>75</v>
      </c>
      <c r="B127" s="272"/>
      <c r="C127" s="272"/>
      <c r="D127" s="272"/>
      <c r="E127" s="272"/>
      <c r="F127" s="105"/>
      <c r="G127" s="272"/>
      <c r="H127" s="105"/>
      <c r="I127" s="272"/>
      <c r="J127" s="272"/>
      <c r="K127" s="272"/>
      <c r="L127" s="272"/>
      <c r="M127" s="272"/>
      <c r="N127" s="272"/>
      <c r="O127" s="272"/>
      <c r="P127" s="272"/>
      <c r="Q127" s="105"/>
      <c r="R127" s="272"/>
      <c r="S127" s="272"/>
      <c r="T127" s="272"/>
      <c r="U127" s="272"/>
      <c r="V127" s="272"/>
      <c r="W127" s="272"/>
      <c r="X127" s="272"/>
      <c r="Y127" s="272"/>
      <c r="Z127" s="272"/>
      <c r="AA127" s="272"/>
      <c r="AB127" s="272"/>
      <c r="AC127" s="272"/>
      <c r="AD127" s="272"/>
      <c r="AE127" s="272"/>
      <c r="AF127" s="272"/>
      <c r="AG127" s="272"/>
      <c r="AH127" s="272"/>
      <c r="AI127" s="272"/>
      <c r="AJ127" s="273"/>
      <c r="AK127" s="272"/>
      <c r="AL127" s="273"/>
      <c r="AM127" s="272"/>
      <c r="AN127" s="105"/>
      <c r="AO127" s="272"/>
      <c r="AP127" s="272"/>
      <c r="AQ127" s="105"/>
      <c r="AR127" s="272"/>
      <c r="AS127" s="272"/>
      <c r="AT127" s="272"/>
      <c r="AU127" s="105"/>
      <c r="AV127" s="272"/>
      <c r="AW127" s="305"/>
      <c r="AX127" s="351"/>
      <c r="AY127" s="105"/>
      <c r="AZ127" s="183"/>
      <c r="BA127" s="272"/>
      <c r="BB127" s="96"/>
    </row>
    <row r="128" spans="1:54" x14ac:dyDescent="0.2">
      <c r="A128" s="271" t="s">
        <v>76</v>
      </c>
      <c r="B128" s="272"/>
      <c r="C128" s="272"/>
      <c r="D128" s="272"/>
      <c r="E128" s="272"/>
      <c r="F128" s="105"/>
      <c r="G128" s="272"/>
      <c r="H128" s="105"/>
      <c r="I128" s="272"/>
      <c r="J128" s="272"/>
      <c r="K128" s="272"/>
      <c r="L128" s="272"/>
      <c r="M128" s="272"/>
      <c r="N128" s="272"/>
      <c r="O128" s="272"/>
      <c r="P128" s="272"/>
      <c r="Q128" s="105"/>
      <c r="R128" s="272"/>
      <c r="S128" s="272"/>
      <c r="T128" s="272"/>
      <c r="U128" s="272"/>
      <c r="V128" s="272"/>
      <c r="W128" s="272"/>
      <c r="X128" s="272"/>
      <c r="Y128" s="272"/>
      <c r="Z128" s="272"/>
      <c r="AA128" s="272"/>
      <c r="AB128" s="272"/>
      <c r="AC128" s="272"/>
      <c r="AD128" s="272"/>
      <c r="AE128" s="272"/>
      <c r="AF128" s="272"/>
      <c r="AG128" s="272"/>
      <c r="AH128" s="272"/>
      <c r="AI128" s="272"/>
      <c r="AJ128" s="273"/>
      <c r="AK128" s="272"/>
      <c r="AL128" s="273"/>
      <c r="AM128" s="272"/>
      <c r="AN128" s="105"/>
      <c r="AO128" s="272"/>
      <c r="AP128" s="272"/>
      <c r="AQ128" s="105"/>
      <c r="AR128" s="272"/>
      <c r="AS128" s="272"/>
      <c r="AT128" s="272"/>
      <c r="AU128" s="105"/>
      <c r="AV128" s="272"/>
      <c r="AW128" s="305"/>
      <c r="AX128" s="351"/>
      <c r="AY128" s="105"/>
      <c r="AZ128" s="183"/>
      <c r="BA128" s="272"/>
      <c r="BB128" s="96"/>
    </row>
    <row r="129" spans="1:54" x14ac:dyDescent="0.2">
      <c r="A129" s="97"/>
      <c r="B129" s="98"/>
      <c r="C129" s="99"/>
      <c r="D129" s="100"/>
      <c r="E129" s="101"/>
      <c r="F129" s="100"/>
      <c r="G129" s="101"/>
      <c r="H129" s="100"/>
      <c r="I129" s="101"/>
      <c r="J129" s="101"/>
      <c r="K129" s="101"/>
      <c r="L129" s="101"/>
      <c r="M129" s="101"/>
      <c r="N129" s="101"/>
      <c r="O129" s="101"/>
      <c r="P129" s="101"/>
      <c r="Q129" s="100"/>
      <c r="R129" s="101"/>
      <c r="S129" s="101"/>
      <c r="T129" s="101"/>
      <c r="U129" s="100"/>
      <c r="V129" s="101"/>
      <c r="W129" s="100"/>
      <c r="X129" s="101"/>
      <c r="Y129" s="98"/>
      <c r="Z129" s="98"/>
      <c r="AA129" s="98"/>
      <c r="AB129" s="98"/>
      <c r="AC129" s="98"/>
      <c r="AD129" s="98"/>
      <c r="AE129" s="100"/>
      <c r="AF129" s="101"/>
      <c r="AG129" s="101"/>
      <c r="AH129" s="101"/>
      <c r="AI129" s="101"/>
      <c r="AJ129" s="100"/>
      <c r="AK129" s="101"/>
      <c r="AL129" s="100"/>
      <c r="AM129" s="101"/>
      <c r="AN129" s="100"/>
      <c r="AO129" s="101"/>
      <c r="AP129" s="101"/>
      <c r="AQ129" s="100"/>
      <c r="AR129" s="101"/>
      <c r="AS129" s="101"/>
      <c r="AT129" s="101"/>
      <c r="AU129" s="100"/>
      <c r="AV129" s="101"/>
      <c r="AW129" s="100"/>
      <c r="AX129" s="101"/>
      <c r="AY129" s="100"/>
      <c r="AZ129" s="101"/>
      <c r="BA129" s="101"/>
      <c r="BB129" s="102"/>
    </row>
  </sheetData>
  <sheetProtection algorithmName="SHA-512" hashValue="d2PRIKbUo8lp03UubM0Q4WgrDenhOYnF9yktGfBvx8083h71xfcBzTe9L3XZQb7CPRx8oOhUiEZsnkRKHxch2w==" saltValue="zmDD1ZVU4JQNmKmX2yGtJg==" spinCount="100000" sheet="1" formatCells="0" formatColumns="0" formatRows="0"/>
  <sortState xmlns:xlrd2="http://schemas.microsoft.com/office/spreadsheetml/2017/richdata2" ref="A41:BC87">
    <sortCondition ref="A87"/>
  </sortState>
  <mergeCells count="9">
    <mergeCell ref="AJ4:AM4"/>
    <mergeCell ref="AN4:AP4"/>
    <mergeCell ref="AQ4:AT4"/>
    <mergeCell ref="AU4:BB4"/>
    <mergeCell ref="D4:E4"/>
    <mergeCell ref="Q4:T4"/>
    <mergeCell ref="U4:AD4"/>
    <mergeCell ref="AE4:AI4"/>
    <mergeCell ref="F4:P4"/>
  </mergeCells>
  <phoneticPr fontId="0" type="noConversion"/>
  <printOptions horizontalCentered="1" gridLines="1"/>
  <pageMargins left="0.25" right="0.25" top="0.21" bottom="0.28000000000000003" header="0.12" footer="0.17"/>
  <pageSetup paperSize="9" scale="59" fitToWidth="4" fitToHeight="8" orientation="landscape" r:id="rId1"/>
  <headerFooter alignWithMargins="0">
    <oddFooter>Page &amp;P of &amp;N</oddFooter>
  </headerFooter>
  <colBreaks count="3" manualBreakCount="3">
    <brk id="16" max="93" man="1"/>
    <brk id="30" max="93" man="1"/>
    <brk id="42" max="9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4"/>
  <sheetViews>
    <sheetView zoomScale="80" zoomScaleNormal="80" workbookViewId="0">
      <pane ySplit="3" topLeftCell="A4" activePane="bottomLeft" state="frozen"/>
      <selection pane="bottomLeft"/>
    </sheetView>
  </sheetViews>
  <sheetFormatPr defaultColWidth="11.42578125" defaultRowHeight="15" x14ac:dyDescent="0.25"/>
  <cols>
    <col min="1" max="1" width="33.28515625" style="230" customWidth="1"/>
    <col min="2" max="2" width="5.5703125" style="243" bestFit="1" customWidth="1"/>
    <col min="3" max="3" width="9.85546875" style="244" customWidth="1"/>
    <col min="4" max="4" width="10.28515625" style="244" customWidth="1"/>
    <col min="5" max="5" width="9.42578125" style="244" bestFit="1" customWidth="1"/>
    <col min="6" max="6" width="12.42578125" style="244" customWidth="1"/>
    <col min="7" max="7" width="9.28515625" style="244" customWidth="1"/>
    <col min="8" max="8" width="12.28515625" style="244" customWidth="1"/>
    <col min="9" max="9" width="8.140625" style="244" bestFit="1" customWidth="1"/>
    <col min="10" max="10" width="9.5703125" style="245" customWidth="1"/>
    <col min="11" max="12" width="11.42578125" style="220"/>
    <col min="13" max="13" width="14.85546875" style="246" bestFit="1" customWidth="1"/>
    <col min="14" max="14" width="9.85546875" style="246" bestFit="1" customWidth="1"/>
    <col min="15" max="16" width="9.28515625" style="246" bestFit="1" customWidth="1"/>
    <col min="17" max="19" width="10.7109375" style="246" bestFit="1" customWidth="1"/>
    <col min="20" max="16384" width="11.42578125" style="232"/>
  </cols>
  <sheetData>
    <row r="1" spans="1:19" s="230" customFormat="1" ht="45" x14ac:dyDescent="0.25">
      <c r="A1" s="325" t="s">
        <v>173</v>
      </c>
      <c r="B1" s="326"/>
      <c r="C1" s="327">
        <v>1204</v>
      </c>
      <c r="D1" s="326">
        <v>3604</v>
      </c>
      <c r="E1" s="326">
        <v>4076</v>
      </c>
      <c r="F1" s="326">
        <v>3620</v>
      </c>
      <c r="G1" s="327" t="s">
        <v>80</v>
      </c>
      <c r="H1" s="326">
        <v>4561</v>
      </c>
      <c r="I1" s="326" t="s">
        <v>81</v>
      </c>
      <c r="J1" s="328" t="s">
        <v>82</v>
      </c>
      <c r="K1" s="329" t="s">
        <v>83</v>
      </c>
      <c r="L1" s="329" t="s">
        <v>84</v>
      </c>
      <c r="M1" s="328" t="s">
        <v>85</v>
      </c>
      <c r="N1" s="328" t="s">
        <v>86</v>
      </c>
      <c r="O1" s="328" t="s">
        <v>87</v>
      </c>
      <c r="P1" s="328" t="s">
        <v>88</v>
      </c>
      <c r="Q1" s="328" t="s">
        <v>89</v>
      </c>
      <c r="R1" s="328" t="s">
        <v>90</v>
      </c>
      <c r="S1" s="328" t="s">
        <v>165</v>
      </c>
    </row>
    <row r="2" spans="1:19" s="231" customFormat="1" ht="30" x14ac:dyDescent="0.25">
      <c r="A2" s="330" t="s">
        <v>174</v>
      </c>
      <c r="B2" s="331"/>
      <c r="C2" s="332">
        <v>30</v>
      </c>
      <c r="D2" s="331">
        <v>77</v>
      </c>
      <c r="E2" s="331">
        <v>19.100000000000001</v>
      </c>
      <c r="F2" s="331">
        <v>50</v>
      </c>
      <c r="G2" s="332">
        <v>7.5</v>
      </c>
      <c r="H2" s="331" t="s">
        <v>175</v>
      </c>
      <c r="I2" s="331"/>
      <c r="J2" s="333"/>
      <c r="K2" s="328"/>
      <c r="L2" s="328"/>
      <c r="M2" s="328"/>
      <c r="N2" s="328"/>
      <c r="O2" s="328"/>
      <c r="P2" s="328"/>
      <c r="Q2" s="328"/>
      <c r="R2" s="328"/>
      <c r="S2" s="328"/>
    </row>
    <row r="3" spans="1:19" s="230" customFormat="1" x14ac:dyDescent="0.25">
      <c r="A3" s="325"/>
      <c r="B3" s="326"/>
      <c r="C3" s="327" t="s">
        <v>91</v>
      </c>
      <c r="D3" s="326" t="s">
        <v>92</v>
      </c>
      <c r="E3" s="326" t="s">
        <v>93</v>
      </c>
      <c r="F3" s="326" t="s">
        <v>94</v>
      </c>
      <c r="G3" s="327"/>
      <c r="H3" s="326" t="s">
        <v>95</v>
      </c>
      <c r="I3" s="326"/>
      <c r="J3" s="334"/>
      <c r="K3" s="329"/>
      <c r="L3" s="329"/>
      <c r="M3" s="328"/>
      <c r="N3" s="328"/>
      <c r="O3" s="328"/>
      <c r="P3" s="328"/>
      <c r="Q3" s="328"/>
      <c r="R3" s="328"/>
      <c r="S3" s="328"/>
    </row>
    <row r="4" spans="1:19" x14ac:dyDescent="0.25">
      <c r="A4" s="208" t="s">
        <v>96</v>
      </c>
      <c r="B4" s="209">
        <v>2022</v>
      </c>
      <c r="C4" s="210">
        <v>15.792</v>
      </c>
      <c r="D4" s="210">
        <v>22.372</v>
      </c>
      <c r="E4" s="210">
        <v>18.256</v>
      </c>
      <c r="F4" s="210">
        <v>15.052</v>
      </c>
      <c r="G4" s="210"/>
      <c r="H4" s="210">
        <v>21.05</v>
      </c>
      <c r="I4" s="210"/>
      <c r="J4" s="211"/>
      <c r="K4" s="210"/>
      <c r="L4" s="210"/>
      <c r="M4" s="212"/>
      <c r="N4" s="212"/>
      <c r="O4" s="212"/>
      <c r="P4" s="212"/>
      <c r="Q4" s="212"/>
      <c r="R4" s="212"/>
      <c r="S4" s="212"/>
    </row>
    <row r="5" spans="1:19" x14ac:dyDescent="0.25">
      <c r="A5" s="233" t="s">
        <v>96</v>
      </c>
      <c r="B5" s="234">
        <v>2023</v>
      </c>
      <c r="C5" s="213">
        <v>16.707999999999998</v>
      </c>
      <c r="D5" s="213">
        <v>23.67</v>
      </c>
      <c r="E5" s="213">
        <v>19.315000000000001</v>
      </c>
      <c r="F5" s="213">
        <v>15.925000000000001</v>
      </c>
      <c r="G5" s="213"/>
      <c r="H5" s="213">
        <v>22.271000000000001</v>
      </c>
      <c r="I5" s="213"/>
      <c r="J5" s="214"/>
      <c r="K5" s="213"/>
      <c r="L5" s="213"/>
      <c r="M5" s="215"/>
      <c r="N5" s="215"/>
      <c r="O5" s="215"/>
      <c r="P5" s="215"/>
      <c r="Q5" s="215"/>
      <c r="R5" s="215"/>
      <c r="S5" s="215"/>
    </row>
    <row r="6" spans="1:19" x14ac:dyDescent="0.25">
      <c r="A6" s="208" t="s">
        <v>166</v>
      </c>
      <c r="B6" s="209">
        <v>2022</v>
      </c>
      <c r="C6" s="210">
        <v>15.49</v>
      </c>
      <c r="D6" s="210">
        <v>22.02</v>
      </c>
      <c r="E6" s="210">
        <v>17.829999999999998</v>
      </c>
      <c r="F6" s="210">
        <v>14.81</v>
      </c>
      <c r="G6" s="210">
        <v>25.227</v>
      </c>
      <c r="H6" s="210">
        <v>20.75</v>
      </c>
      <c r="I6" s="210"/>
      <c r="J6" s="211"/>
      <c r="K6" s="210"/>
      <c r="L6" s="210"/>
      <c r="M6" s="212"/>
      <c r="N6" s="212"/>
      <c r="O6" s="212"/>
      <c r="P6" s="212"/>
      <c r="Q6" s="212"/>
      <c r="R6" s="212"/>
      <c r="S6" s="212"/>
    </row>
    <row r="7" spans="1:19" x14ac:dyDescent="0.25">
      <c r="A7" s="233" t="s">
        <v>166</v>
      </c>
      <c r="B7" s="234">
        <v>2023</v>
      </c>
      <c r="C7" s="213">
        <v>16.45</v>
      </c>
      <c r="D7" s="213">
        <v>23.38</v>
      </c>
      <c r="E7" s="213">
        <v>18.93</v>
      </c>
      <c r="F7" s="213">
        <v>15.72</v>
      </c>
      <c r="G7" s="213">
        <v>26.7</v>
      </c>
      <c r="H7" s="213">
        <v>22.03</v>
      </c>
      <c r="I7" s="213"/>
      <c r="J7" s="214"/>
      <c r="K7" s="213"/>
      <c r="L7" s="213"/>
      <c r="M7" s="215"/>
      <c r="N7" s="215"/>
      <c r="O7" s="215"/>
      <c r="P7" s="215"/>
      <c r="Q7" s="215"/>
      <c r="R7" s="215"/>
      <c r="S7" s="215"/>
    </row>
    <row r="8" spans="1:19" x14ac:dyDescent="0.25">
      <c r="A8" s="208" t="s">
        <v>98</v>
      </c>
      <c r="B8" s="209">
        <v>2022</v>
      </c>
      <c r="C8" s="210">
        <v>15.304</v>
      </c>
      <c r="D8" s="210">
        <v>21.681000000000001</v>
      </c>
      <c r="E8" s="210">
        <v>13.983000000000001</v>
      </c>
      <c r="F8" s="210">
        <v>14.589</v>
      </c>
      <c r="G8" s="210">
        <v>0</v>
      </c>
      <c r="H8" s="210">
        <v>19.832000000000001</v>
      </c>
      <c r="I8" s="210"/>
      <c r="J8" s="211"/>
      <c r="K8" s="210"/>
      <c r="L8" s="210"/>
      <c r="M8" s="212"/>
      <c r="N8" s="212"/>
      <c r="O8" s="212"/>
      <c r="P8" s="212"/>
      <c r="Q8" s="212"/>
      <c r="R8" s="212"/>
      <c r="S8" s="212"/>
    </row>
    <row r="9" spans="1:19" x14ac:dyDescent="0.25">
      <c r="A9" s="233" t="s">
        <v>98</v>
      </c>
      <c r="B9" s="234">
        <v>2023</v>
      </c>
      <c r="C9" s="213">
        <v>16.192</v>
      </c>
      <c r="D9" s="213">
        <v>22.937999999999999</v>
      </c>
      <c r="E9" s="213">
        <v>14.794</v>
      </c>
      <c r="F9" s="213">
        <v>15.435</v>
      </c>
      <c r="G9" s="213">
        <v>0</v>
      </c>
      <c r="H9" s="213">
        <v>20.981999999999999</v>
      </c>
      <c r="I9" s="213"/>
      <c r="J9" s="214"/>
      <c r="K9" s="213"/>
      <c r="L9" s="213"/>
      <c r="M9" s="213"/>
      <c r="N9" s="213"/>
      <c r="O9" s="213"/>
      <c r="P9" s="213"/>
      <c r="Q9" s="215"/>
      <c r="R9" s="215"/>
      <c r="S9" s="215"/>
    </row>
    <row r="10" spans="1:19" x14ac:dyDescent="0.25">
      <c r="A10" s="208" t="s">
        <v>99</v>
      </c>
      <c r="B10" s="209">
        <v>2022</v>
      </c>
      <c r="C10" s="210">
        <v>15.52</v>
      </c>
      <c r="D10" s="210">
        <v>21.998000000000001</v>
      </c>
      <c r="E10" s="210">
        <v>17.442</v>
      </c>
      <c r="F10" s="210">
        <v>14.8</v>
      </c>
      <c r="G10" s="210">
        <v>0</v>
      </c>
      <c r="H10" s="210">
        <v>20.116</v>
      </c>
      <c r="I10" s="210"/>
      <c r="J10" s="211"/>
      <c r="K10" s="210"/>
      <c r="L10" s="210"/>
      <c r="M10" s="212"/>
      <c r="N10" s="212"/>
      <c r="O10" s="212"/>
      <c r="P10" s="212"/>
      <c r="Q10" s="212"/>
      <c r="R10" s="212"/>
      <c r="S10" s="212"/>
    </row>
    <row r="11" spans="1:19" x14ac:dyDescent="0.25">
      <c r="A11" s="233" t="s">
        <v>99</v>
      </c>
      <c r="B11" s="234">
        <v>2023</v>
      </c>
      <c r="C11" s="213">
        <v>16.422000000000001</v>
      </c>
      <c r="D11" s="213">
        <v>23.263000000000002</v>
      </c>
      <c r="E11" s="213">
        <v>17.442</v>
      </c>
      <c r="F11" s="213">
        <v>15.657999999999999</v>
      </c>
      <c r="G11" s="213">
        <v>0</v>
      </c>
      <c r="H11" s="213">
        <v>21.283000000000001</v>
      </c>
      <c r="I11" s="213"/>
      <c r="J11" s="214"/>
      <c r="K11" s="213"/>
      <c r="L11" s="213"/>
      <c r="M11" s="215"/>
      <c r="N11" s="215"/>
      <c r="O11" s="215"/>
      <c r="P11" s="215"/>
      <c r="Q11" s="215"/>
      <c r="R11" s="215"/>
      <c r="S11" s="215"/>
    </row>
    <row r="12" spans="1:19" x14ac:dyDescent="0.25">
      <c r="A12" s="208" t="s">
        <v>100</v>
      </c>
      <c r="B12" s="209">
        <v>2022</v>
      </c>
      <c r="C12" s="210">
        <v>15.52</v>
      </c>
      <c r="D12" s="210">
        <v>21.99</v>
      </c>
      <c r="E12" s="210">
        <v>17.809999999999999</v>
      </c>
      <c r="F12" s="210">
        <v>14.81</v>
      </c>
      <c r="G12" s="210">
        <v>25.2</v>
      </c>
      <c r="H12" s="210">
        <v>20.73</v>
      </c>
      <c r="I12" s="210"/>
      <c r="J12" s="211"/>
      <c r="K12" s="210"/>
      <c r="L12" s="210"/>
      <c r="M12" s="212"/>
      <c r="N12" s="212"/>
      <c r="O12" s="212"/>
      <c r="P12" s="212"/>
      <c r="Q12" s="212"/>
      <c r="R12" s="212"/>
      <c r="S12" s="212"/>
    </row>
    <row r="13" spans="1:19" x14ac:dyDescent="0.25">
      <c r="A13" s="233" t="s">
        <v>100</v>
      </c>
      <c r="B13" s="234">
        <v>2023</v>
      </c>
      <c r="C13" s="213">
        <v>15.52</v>
      </c>
      <c r="D13" s="213">
        <v>21.99</v>
      </c>
      <c r="E13" s="213">
        <v>17.809999999999999</v>
      </c>
      <c r="F13" s="213">
        <v>14.81</v>
      </c>
      <c r="G13" s="213">
        <v>25.2</v>
      </c>
      <c r="H13" s="213">
        <v>20.73</v>
      </c>
      <c r="I13" s="213"/>
      <c r="J13" s="214"/>
      <c r="K13" s="213"/>
      <c r="L13" s="213"/>
      <c r="M13" s="215"/>
      <c r="N13" s="215"/>
      <c r="O13" s="215"/>
      <c r="P13" s="215"/>
      <c r="Q13" s="215"/>
      <c r="R13" s="215"/>
      <c r="S13" s="215"/>
    </row>
    <row r="14" spans="1:19" x14ac:dyDescent="0.25">
      <c r="A14" s="208" t="s">
        <v>101</v>
      </c>
      <c r="B14" s="209">
        <v>2022</v>
      </c>
      <c r="C14" s="210">
        <v>14.76</v>
      </c>
      <c r="D14" s="210">
        <v>20.912987012987013</v>
      </c>
      <c r="E14" s="210">
        <v>0</v>
      </c>
      <c r="F14" s="210">
        <v>14.068</v>
      </c>
      <c r="G14" s="210">
        <v>23.853333333333335</v>
      </c>
      <c r="H14" s="210">
        <v>19.696629213483146</v>
      </c>
      <c r="I14" s="210"/>
      <c r="J14" s="211"/>
      <c r="K14" s="210"/>
      <c r="L14" s="210"/>
      <c r="M14" s="212"/>
      <c r="N14" s="212"/>
      <c r="O14" s="212"/>
      <c r="P14" s="212"/>
      <c r="Q14" s="212"/>
      <c r="R14" s="212"/>
      <c r="S14" s="212"/>
    </row>
    <row r="15" spans="1:19" x14ac:dyDescent="0.25">
      <c r="A15" s="208" t="s">
        <v>102</v>
      </c>
      <c r="B15" s="209">
        <v>2022</v>
      </c>
      <c r="C15" s="210">
        <v>15.176666666666668</v>
      </c>
      <c r="D15" s="210">
        <v>21.5</v>
      </c>
      <c r="E15" s="210">
        <v>0</v>
      </c>
      <c r="F15" s="210">
        <v>14.468</v>
      </c>
      <c r="G15" s="210">
        <v>24.52</v>
      </c>
      <c r="H15" s="210">
        <v>20.238805970149251</v>
      </c>
      <c r="I15" s="210"/>
      <c r="J15" s="211"/>
      <c r="K15" s="210"/>
      <c r="L15" s="210"/>
      <c r="M15" s="212"/>
      <c r="N15" s="212"/>
      <c r="O15" s="212"/>
      <c r="P15" s="212"/>
      <c r="Q15" s="212"/>
      <c r="R15" s="212"/>
      <c r="S15" s="212"/>
    </row>
    <row r="16" spans="1:19" x14ac:dyDescent="0.25">
      <c r="A16" s="208" t="s">
        <v>103</v>
      </c>
      <c r="B16" s="209">
        <v>2022</v>
      </c>
      <c r="C16" s="210">
        <v>15.176666666666668</v>
      </c>
      <c r="D16" s="210">
        <v>21.5</v>
      </c>
      <c r="E16" s="210">
        <v>0</v>
      </c>
      <c r="F16" s="210">
        <v>14.468</v>
      </c>
      <c r="G16" s="210">
        <v>24.52</v>
      </c>
      <c r="H16" s="210">
        <v>20.238805970149251</v>
      </c>
      <c r="I16" s="210"/>
      <c r="J16" s="211"/>
      <c r="K16" s="210"/>
      <c r="L16" s="210"/>
      <c r="M16" s="212"/>
      <c r="N16" s="212"/>
      <c r="O16" s="212"/>
      <c r="P16" s="212"/>
      <c r="Q16" s="212"/>
      <c r="R16" s="212"/>
      <c r="S16" s="212"/>
    </row>
    <row r="17" spans="1:19" ht="90" x14ac:dyDescent="0.25">
      <c r="A17" s="216" t="s">
        <v>176</v>
      </c>
      <c r="B17" s="209">
        <v>2022</v>
      </c>
      <c r="C17" s="210">
        <v>15.696666666666665</v>
      </c>
      <c r="D17" s="210">
        <v>22.228571428571428</v>
      </c>
      <c r="E17" s="210">
        <v>18.141361256544503</v>
      </c>
      <c r="F17" s="210">
        <v>14.96</v>
      </c>
      <c r="G17" s="210">
        <v>25.373333333333335</v>
      </c>
      <c r="H17" s="210">
        <v>20.917910447761194</v>
      </c>
      <c r="I17" s="210"/>
      <c r="J17" s="211"/>
      <c r="K17" s="210">
        <v>0</v>
      </c>
      <c r="L17" s="210">
        <v>0</v>
      </c>
      <c r="M17" s="212">
        <v>0</v>
      </c>
      <c r="N17" s="212">
        <v>0</v>
      </c>
      <c r="O17" s="212">
        <v>0</v>
      </c>
      <c r="P17" s="212">
        <v>0</v>
      </c>
      <c r="Q17" s="212">
        <v>0</v>
      </c>
      <c r="R17" s="212">
        <v>0</v>
      </c>
      <c r="S17" s="212">
        <v>0</v>
      </c>
    </row>
    <row r="18" spans="1:19" x14ac:dyDescent="0.25">
      <c r="A18" s="208" t="s">
        <v>104</v>
      </c>
      <c r="B18" s="209">
        <v>2022</v>
      </c>
      <c r="C18" s="210">
        <v>16.2</v>
      </c>
      <c r="D18" s="210">
        <v>23.075324675324676</v>
      </c>
      <c r="E18" s="210">
        <v>12.486910994764397</v>
      </c>
      <c r="F18" s="210">
        <v>15.444000000000001</v>
      </c>
      <c r="G18" s="210">
        <v>26.16</v>
      </c>
      <c r="H18" s="210">
        <v>14.365671641791044</v>
      </c>
      <c r="I18" s="210"/>
      <c r="J18" s="211"/>
      <c r="K18" s="210"/>
      <c r="L18" s="210"/>
      <c r="M18" s="212"/>
      <c r="N18" s="212"/>
      <c r="O18" s="212"/>
      <c r="P18" s="212"/>
      <c r="Q18" s="212"/>
      <c r="R18" s="212"/>
      <c r="S18" s="212"/>
    </row>
    <row r="19" spans="1:19" x14ac:dyDescent="0.25">
      <c r="A19" s="208" t="s">
        <v>105</v>
      </c>
      <c r="B19" s="209">
        <v>2022</v>
      </c>
      <c r="C19" s="210">
        <v>20.69</v>
      </c>
      <c r="D19" s="210">
        <v>29.32987012987013</v>
      </c>
      <c r="E19" s="210">
        <v>23.95287958115183</v>
      </c>
      <c r="F19" s="210">
        <v>19.734000000000002</v>
      </c>
      <c r="G19" s="210">
        <v>33.479999999999997</v>
      </c>
      <c r="H19" s="210">
        <v>27.604477611940297</v>
      </c>
      <c r="I19" s="210"/>
      <c r="J19" s="211"/>
      <c r="K19" s="210"/>
      <c r="L19" s="210"/>
      <c r="M19" s="212"/>
      <c r="N19" s="212"/>
      <c r="O19" s="212"/>
      <c r="P19" s="212"/>
      <c r="Q19" s="212"/>
      <c r="R19" s="212"/>
      <c r="S19" s="212"/>
    </row>
    <row r="20" spans="1:19" x14ac:dyDescent="0.25">
      <c r="A20" s="208" t="s">
        <v>106</v>
      </c>
      <c r="B20" s="209">
        <v>2022</v>
      </c>
      <c r="C20" s="210">
        <v>20.69</v>
      </c>
      <c r="D20" s="210">
        <v>29.32987012987013</v>
      </c>
      <c r="E20" s="210">
        <v>23.95287958115183</v>
      </c>
      <c r="F20" s="210">
        <v>19.734000000000002</v>
      </c>
      <c r="G20" s="210">
        <v>33.479999999999997</v>
      </c>
      <c r="H20" s="210">
        <v>27.604477611940297</v>
      </c>
      <c r="I20" s="210"/>
      <c r="J20" s="211"/>
      <c r="K20" s="210"/>
      <c r="L20" s="210"/>
      <c r="M20" s="212"/>
      <c r="N20" s="212"/>
      <c r="O20" s="212"/>
      <c r="P20" s="212"/>
      <c r="Q20" s="212"/>
      <c r="R20" s="212"/>
      <c r="S20" s="212"/>
    </row>
    <row r="21" spans="1:19" ht="105" x14ac:dyDescent="0.25">
      <c r="A21" s="216" t="s">
        <v>107</v>
      </c>
      <c r="B21" s="209">
        <v>2022</v>
      </c>
      <c r="C21" s="210">
        <v>20.7</v>
      </c>
      <c r="D21" s="210">
        <v>29.32987012987013</v>
      </c>
      <c r="E21" s="210">
        <v>18.408376963350786</v>
      </c>
      <c r="F21" s="210">
        <v>19.736000000000001</v>
      </c>
      <c r="G21" s="210">
        <v>33.479999999999997</v>
      </c>
      <c r="H21" s="210">
        <v>21.231343283582088</v>
      </c>
      <c r="I21" s="210"/>
      <c r="J21" s="211"/>
      <c r="K21" s="210"/>
      <c r="L21" s="210"/>
      <c r="M21" s="212"/>
      <c r="N21" s="212"/>
      <c r="O21" s="212"/>
      <c r="P21" s="212"/>
      <c r="Q21" s="212"/>
      <c r="R21" s="212"/>
      <c r="S21" s="212"/>
    </row>
    <row r="22" spans="1:19" x14ac:dyDescent="0.25">
      <c r="A22" s="233" t="s">
        <v>101</v>
      </c>
      <c r="B22" s="234">
        <v>2023</v>
      </c>
      <c r="C22" s="213">
        <f>468.9/30</f>
        <v>15.629999999999999</v>
      </c>
      <c r="D22" s="213">
        <f>1705.3/77</f>
        <v>22.146753246753246</v>
      </c>
      <c r="E22" s="213">
        <f>230.1/19.1</f>
        <v>12.047120418848166</v>
      </c>
      <c r="F22" s="213">
        <f>744.9/50</f>
        <v>14.898</v>
      </c>
      <c r="G22" s="213">
        <f>189.5/7.5</f>
        <v>25.266666666666666</v>
      </c>
      <c r="H22" s="213">
        <f>185.6/8.9</f>
        <v>20.853932584269661</v>
      </c>
      <c r="I22" s="213"/>
      <c r="J22" s="214"/>
      <c r="K22" s="213"/>
      <c r="L22" s="213"/>
      <c r="M22" s="215"/>
      <c r="N22" s="215"/>
      <c r="O22" s="215"/>
      <c r="P22" s="215"/>
      <c r="Q22" s="215"/>
      <c r="R22" s="215"/>
      <c r="S22" s="215"/>
    </row>
    <row r="23" spans="1:19" x14ac:dyDescent="0.25">
      <c r="A23" s="233" t="s">
        <v>102</v>
      </c>
      <c r="B23" s="234">
        <v>2023</v>
      </c>
      <c r="C23" s="213">
        <f>482.2/30</f>
        <v>16.073333333333334</v>
      </c>
      <c r="D23" s="213">
        <f>1753.2/77</f>
        <v>22.76883116883117</v>
      </c>
      <c r="E23" s="213">
        <f>354.8/19.1</f>
        <v>18.575916230366492</v>
      </c>
      <c r="F23" s="213">
        <f>766.1/50</f>
        <v>15.322000000000001</v>
      </c>
      <c r="G23" s="213">
        <f>194.8/7.5</f>
        <v>25.973333333333336</v>
      </c>
      <c r="H23" s="213">
        <f>287.2/13.4</f>
        <v>21.432835820895519</v>
      </c>
      <c r="I23" s="213"/>
      <c r="J23" s="214"/>
      <c r="K23" s="213"/>
      <c r="L23" s="213"/>
      <c r="M23" s="215"/>
      <c r="N23" s="215"/>
      <c r="O23" s="215"/>
      <c r="P23" s="215"/>
      <c r="Q23" s="215"/>
      <c r="R23" s="215"/>
      <c r="S23" s="215"/>
    </row>
    <row r="24" spans="1:19" x14ac:dyDescent="0.25">
      <c r="A24" s="233" t="s">
        <v>103</v>
      </c>
      <c r="B24" s="234">
        <v>2023</v>
      </c>
      <c r="C24" s="335">
        <f t="shared" ref="C24:H24" si="0">C23</f>
        <v>16.073333333333334</v>
      </c>
      <c r="D24" s="335">
        <f t="shared" si="0"/>
        <v>22.76883116883117</v>
      </c>
      <c r="E24" s="335">
        <f t="shared" si="0"/>
        <v>18.575916230366492</v>
      </c>
      <c r="F24" s="335">
        <f t="shared" si="0"/>
        <v>15.322000000000001</v>
      </c>
      <c r="G24" s="335">
        <f t="shared" si="0"/>
        <v>25.973333333333336</v>
      </c>
      <c r="H24" s="335">
        <f t="shared" si="0"/>
        <v>21.432835820895519</v>
      </c>
      <c r="I24" s="213"/>
      <c r="J24" s="214"/>
      <c r="K24" s="213"/>
      <c r="L24" s="213"/>
      <c r="M24" s="215"/>
      <c r="N24" s="215"/>
      <c r="O24" s="215"/>
      <c r="P24" s="215"/>
      <c r="Q24" s="215"/>
      <c r="R24" s="215"/>
      <c r="S24" s="215"/>
    </row>
    <row r="25" spans="1:19" ht="90" x14ac:dyDescent="0.25">
      <c r="A25" s="235" t="s">
        <v>176</v>
      </c>
      <c r="B25" s="234">
        <v>2023</v>
      </c>
      <c r="C25" s="213">
        <f>492.4/30</f>
        <v>16.413333333333334</v>
      </c>
      <c r="D25" s="213">
        <f>1790.3/77</f>
        <v>23.250649350649351</v>
      </c>
      <c r="E25" s="213">
        <f>362.4/19.1</f>
        <v>18.973821989528794</v>
      </c>
      <c r="F25" s="213">
        <f>782.2/50</f>
        <v>15.644</v>
      </c>
      <c r="G25" s="213">
        <f>199.2/7.5</f>
        <v>26.56</v>
      </c>
      <c r="H25" s="213">
        <f>293.2/13.4</f>
        <v>21.880597014925371</v>
      </c>
      <c r="I25" s="213"/>
      <c r="J25" s="213"/>
      <c r="K25" s="213">
        <f t="shared" ref="K25:S25" si="1">K31:Z31</f>
        <v>0</v>
      </c>
      <c r="L25" s="213">
        <f t="shared" si="1"/>
        <v>0</v>
      </c>
      <c r="M25" s="213">
        <f t="shared" si="1"/>
        <v>0</v>
      </c>
      <c r="N25" s="213">
        <f t="shared" si="1"/>
        <v>0</v>
      </c>
      <c r="O25" s="213">
        <f t="shared" si="1"/>
        <v>0</v>
      </c>
      <c r="P25" s="213">
        <f t="shared" si="1"/>
        <v>0</v>
      </c>
      <c r="Q25" s="213">
        <f t="shared" si="1"/>
        <v>0</v>
      </c>
      <c r="R25" s="213">
        <f t="shared" si="1"/>
        <v>0</v>
      </c>
      <c r="S25" s="213">
        <f t="shared" si="1"/>
        <v>0</v>
      </c>
    </row>
    <row r="26" spans="1:19" x14ac:dyDescent="0.25">
      <c r="A26" s="233" t="s">
        <v>104</v>
      </c>
      <c r="B26" s="234">
        <v>2023</v>
      </c>
      <c r="C26" s="213">
        <f>518.3/30</f>
        <v>17.276666666666664</v>
      </c>
      <c r="D26" s="213">
        <f>1884.3/77</f>
        <v>24.471428571428572</v>
      </c>
      <c r="E26" s="213">
        <f>254.4/19.1</f>
        <v>13.31937172774869</v>
      </c>
      <c r="F26" s="213">
        <f>823.6/50</f>
        <v>16.472000000000001</v>
      </c>
      <c r="G26" s="213">
        <f>209.2/7.5</f>
        <v>27.893333333333331</v>
      </c>
      <c r="H26" s="213">
        <f>205.3/8.9</f>
        <v>23.067415730337078</v>
      </c>
      <c r="I26" s="213"/>
      <c r="J26" s="214"/>
      <c r="K26" s="213"/>
      <c r="L26" s="213"/>
      <c r="M26" s="215"/>
      <c r="N26" s="215"/>
      <c r="O26" s="215"/>
      <c r="P26" s="215"/>
      <c r="Q26" s="215"/>
      <c r="R26" s="215"/>
      <c r="S26" s="215"/>
    </row>
    <row r="27" spans="1:19" x14ac:dyDescent="0.25">
      <c r="A27" s="233" t="s">
        <v>105</v>
      </c>
      <c r="B27" s="234">
        <v>2023</v>
      </c>
      <c r="C27" s="335">
        <f>C28</f>
        <v>22.066666666666666</v>
      </c>
      <c r="D27" s="335">
        <f t="shared" ref="D27:H27" si="2">D28</f>
        <v>31.28051948051948</v>
      </c>
      <c r="E27" s="335">
        <f t="shared" si="2"/>
        <v>25.523560209424083</v>
      </c>
      <c r="F27" s="335">
        <f t="shared" si="2"/>
        <v>21.045999999999999</v>
      </c>
      <c r="G27" s="335">
        <f t="shared" si="2"/>
        <v>35.706666666666671</v>
      </c>
      <c r="H27" s="335">
        <f t="shared" si="2"/>
        <v>29.440298507462686</v>
      </c>
      <c r="I27" s="213"/>
      <c r="J27" s="214"/>
      <c r="K27" s="213"/>
      <c r="L27" s="213"/>
      <c r="M27" s="215"/>
      <c r="N27" s="215"/>
      <c r="O27" s="215"/>
      <c r="P27" s="215"/>
      <c r="Q27" s="215"/>
      <c r="R27" s="215"/>
      <c r="S27" s="215"/>
    </row>
    <row r="28" spans="1:19" x14ac:dyDescent="0.25">
      <c r="A28" s="233" t="s">
        <v>106</v>
      </c>
      <c r="B28" s="234">
        <v>2023</v>
      </c>
      <c r="C28" s="213">
        <f>662/30</f>
        <v>22.066666666666666</v>
      </c>
      <c r="D28" s="213">
        <f>2408.6/77</f>
        <v>31.28051948051948</v>
      </c>
      <c r="E28" s="213">
        <f>487.5/19.1</f>
        <v>25.523560209424083</v>
      </c>
      <c r="F28" s="213">
        <f>1052.3/50</f>
        <v>21.045999999999999</v>
      </c>
      <c r="G28" s="213">
        <f>267.8/7.5</f>
        <v>35.706666666666671</v>
      </c>
      <c r="H28" s="213">
        <f>394.5/13.4</f>
        <v>29.440298507462686</v>
      </c>
      <c r="I28" s="213"/>
      <c r="J28" s="214"/>
      <c r="K28" s="213"/>
      <c r="L28" s="213"/>
      <c r="M28" s="215"/>
      <c r="N28" s="215"/>
      <c r="O28" s="215"/>
      <c r="P28" s="215"/>
      <c r="Q28" s="215"/>
      <c r="R28" s="215"/>
      <c r="S28" s="215"/>
    </row>
    <row r="29" spans="1:19" ht="105" x14ac:dyDescent="0.25">
      <c r="A29" s="235" t="s">
        <v>107</v>
      </c>
      <c r="B29" s="234">
        <v>2023</v>
      </c>
      <c r="C29" s="213">
        <f>662.3/30</f>
        <v>22.076666666666664</v>
      </c>
      <c r="D29" s="213">
        <f>2408.6/77</f>
        <v>31.28051948051948</v>
      </c>
      <c r="E29" s="213">
        <f>375/19.1</f>
        <v>19.633507853403138</v>
      </c>
      <c r="F29" s="213">
        <f>1052.4/50</f>
        <v>21.048000000000002</v>
      </c>
      <c r="G29" s="213">
        <f>267.9/13.4</f>
        <v>19.992537313432834</v>
      </c>
      <c r="H29" s="213">
        <f>303.4/13.4</f>
        <v>22.641791044776117</v>
      </c>
      <c r="I29" s="213"/>
      <c r="J29" s="214"/>
      <c r="K29" s="213"/>
      <c r="L29" s="213"/>
      <c r="M29" s="215"/>
      <c r="N29" s="215"/>
      <c r="O29" s="215"/>
      <c r="P29" s="215"/>
      <c r="Q29" s="215"/>
      <c r="R29" s="215"/>
      <c r="S29" s="215"/>
    </row>
    <row r="30" spans="1:19" x14ac:dyDescent="0.25">
      <c r="A30" s="208" t="s">
        <v>108</v>
      </c>
      <c r="B30" s="209">
        <v>2022</v>
      </c>
      <c r="C30" s="210"/>
      <c r="D30" s="210"/>
      <c r="E30" s="210"/>
      <c r="F30" s="210"/>
      <c r="G30" s="210"/>
      <c r="H30" s="210"/>
      <c r="I30" s="210"/>
      <c r="J30" s="211"/>
      <c r="K30" s="210"/>
      <c r="L30" s="210"/>
      <c r="M30" s="212"/>
      <c r="N30" s="212"/>
      <c r="O30" s="212"/>
      <c r="P30" s="212"/>
      <c r="Q30" s="212"/>
      <c r="R30" s="212"/>
      <c r="S30" s="212"/>
    </row>
    <row r="31" spans="1:19" x14ac:dyDescent="0.25">
      <c r="A31" s="233" t="s">
        <v>108</v>
      </c>
      <c r="B31" s="234">
        <v>2023</v>
      </c>
      <c r="C31" s="213"/>
      <c r="D31" s="213"/>
      <c r="E31" s="213"/>
      <c r="F31" s="213"/>
      <c r="G31" s="213"/>
      <c r="H31" s="213"/>
      <c r="I31" s="213"/>
      <c r="J31" s="214"/>
      <c r="K31" s="213"/>
      <c r="L31" s="213"/>
      <c r="M31" s="215"/>
      <c r="N31" s="215"/>
      <c r="O31" s="215"/>
      <c r="P31" s="215"/>
      <c r="Q31" s="215"/>
      <c r="R31" s="215"/>
      <c r="S31" s="215"/>
    </row>
    <row r="32" spans="1:19" x14ac:dyDescent="0.25">
      <c r="A32" s="208" t="s">
        <v>109</v>
      </c>
      <c r="B32" s="209">
        <v>2022</v>
      </c>
      <c r="C32" s="210">
        <v>16.57</v>
      </c>
      <c r="D32" s="210">
        <v>23.453246753246756</v>
      </c>
      <c r="E32" s="210">
        <v>12.764397905759163</v>
      </c>
      <c r="F32" s="210">
        <v>15.788</v>
      </c>
      <c r="G32" s="210">
        <v>29.986666666666668</v>
      </c>
      <c r="H32" s="210"/>
      <c r="I32" s="210">
        <v>26.713000000000001</v>
      </c>
      <c r="J32" s="211">
        <v>29.986999999999998</v>
      </c>
      <c r="K32" s="210"/>
      <c r="L32" s="210"/>
      <c r="M32" s="212"/>
      <c r="N32" s="212"/>
      <c r="O32" s="212"/>
      <c r="P32" s="212"/>
      <c r="Q32" s="212"/>
      <c r="R32" s="212"/>
      <c r="S32" s="212"/>
    </row>
    <row r="33" spans="1:19" x14ac:dyDescent="0.25">
      <c r="A33" s="233" t="s">
        <v>109</v>
      </c>
      <c r="B33" s="234">
        <v>2023</v>
      </c>
      <c r="C33" s="213">
        <v>17.632999999999999</v>
      </c>
      <c r="D33" s="213">
        <v>24.978000000000002</v>
      </c>
      <c r="E33" s="213">
        <v>20.384</v>
      </c>
      <c r="F33" s="213">
        <v>16.808</v>
      </c>
      <c r="G33" s="213">
        <v>31.92</v>
      </c>
      <c r="H33" s="213"/>
      <c r="I33" s="213">
        <v>28.472999999999999</v>
      </c>
      <c r="J33" s="214">
        <v>31.92</v>
      </c>
      <c r="K33" s="213"/>
      <c r="L33" s="213"/>
      <c r="M33" s="215"/>
      <c r="N33" s="215"/>
      <c r="O33" s="215"/>
      <c r="P33" s="215"/>
      <c r="Q33" s="215"/>
      <c r="R33" s="215"/>
      <c r="S33" s="215"/>
    </row>
    <row r="34" spans="1:19" x14ac:dyDescent="0.25">
      <c r="A34" s="208" t="s">
        <v>217</v>
      </c>
      <c r="B34" s="209">
        <v>2022</v>
      </c>
      <c r="C34" s="210">
        <v>16.46</v>
      </c>
      <c r="D34" s="210">
        <v>23.4</v>
      </c>
      <c r="E34" s="210">
        <v>18.95</v>
      </c>
      <c r="F34" s="210">
        <v>15.77</v>
      </c>
      <c r="G34" s="210">
        <v>0</v>
      </c>
      <c r="H34" s="210">
        <v>22.07</v>
      </c>
      <c r="I34" s="210"/>
      <c r="J34" s="211"/>
      <c r="K34" s="210"/>
      <c r="L34" s="210"/>
      <c r="M34" s="212"/>
      <c r="N34" s="212"/>
      <c r="O34" s="212"/>
      <c r="P34" s="212"/>
      <c r="Q34" s="212"/>
      <c r="R34" s="212"/>
      <c r="S34" s="212"/>
    </row>
    <row r="35" spans="1:19" x14ac:dyDescent="0.25">
      <c r="A35" s="233" t="s">
        <v>217</v>
      </c>
      <c r="B35" s="234">
        <v>2023</v>
      </c>
      <c r="C35" s="213">
        <v>17.43</v>
      </c>
      <c r="D35" s="213">
        <v>24.78</v>
      </c>
      <c r="E35" s="213">
        <v>20.059999999999999</v>
      </c>
      <c r="F35" s="213">
        <v>16.7</v>
      </c>
      <c r="G35" s="213">
        <v>0</v>
      </c>
      <c r="H35" s="213">
        <v>23.37</v>
      </c>
      <c r="I35" s="213"/>
      <c r="J35" s="214"/>
      <c r="K35" s="213"/>
      <c r="L35" s="213"/>
      <c r="M35" s="215"/>
      <c r="N35" s="215"/>
      <c r="O35" s="215"/>
      <c r="P35" s="215"/>
      <c r="Q35" s="215"/>
      <c r="R35" s="215"/>
      <c r="S35" s="215"/>
    </row>
    <row r="36" spans="1:19" x14ac:dyDescent="0.25">
      <c r="A36" s="208" t="s">
        <v>110</v>
      </c>
      <c r="B36" s="209">
        <v>2022</v>
      </c>
      <c r="C36" s="302">
        <v>16.247</v>
      </c>
      <c r="D36" s="210">
        <v>23.021999999999998</v>
      </c>
      <c r="E36" s="210">
        <v>12.529</v>
      </c>
      <c r="F36" s="210">
        <v>15.492000000000001</v>
      </c>
      <c r="G36" s="210">
        <v>26.24</v>
      </c>
      <c r="H36" s="210">
        <v>14.231</v>
      </c>
      <c r="I36" s="210"/>
      <c r="J36" s="211"/>
      <c r="K36" s="210"/>
      <c r="L36" s="210"/>
      <c r="M36" s="212"/>
      <c r="N36" s="212"/>
      <c r="O36" s="212"/>
      <c r="P36" s="212"/>
      <c r="Q36" s="212"/>
      <c r="R36" s="212"/>
      <c r="S36" s="212"/>
    </row>
    <row r="37" spans="1:19" x14ac:dyDescent="0.25">
      <c r="A37" s="233" t="s">
        <v>110</v>
      </c>
      <c r="B37" s="234">
        <v>2023</v>
      </c>
      <c r="C37" s="303">
        <f>512.7/30</f>
        <v>17.09</v>
      </c>
      <c r="D37" s="213">
        <f>C37/C36*D36</f>
        <v>24.216531051886498</v>
      </c>
      <c r="E37" s="213">
        <f>251.7/19.1</f>
        <v>13.178010471204187</v>
      </c>
      <c r="F37" s="213">
        <f>814.9/50</f>
        <v>16.297999999999998</v>
      </c>
      <c r="G37" s="213">
        <f>207/7.5</f>
        <v>27.6</v>
      </c>
      <c r="H37" s="213">
        <f>200.6/13.4</f>
        <v>14.970149253731343</v>
      </c>
      <c r="I37" s="213"/>
      <c r="J37" s="214"/>
      <c r="K37" s="213"/>
      <c r="L37" s="213"/>
      <c r="M37" s="215"/>
      <c r="N37" s="215"/>
      <c r="O37" s="215"/>
      <c r="P37" s="215"/>
      <c r="Q37" s="215"/>
      <c r="R37" s="215"/>
      <c r="S37" s="215"/>
    </row>
    <row r="38" spans="1:19" x14ac:dyDescent="0.25">
      <c r="A38" s="208" t="s">
        <v>111</v>
      </c>
      <c r="B38" s="209">
        <v>2022</v>
      </c>
      <c r="C38" s="302">
        <v>16.54</v>
      </c>
      <c r="D38" s="210">
        <v>23.287012987012986</v>
      </c>
      <c r="E38" s="210">
        <v>18.806282722513085</v>
      </c>
      <c r="F38" s="210">
        <v>15.67</v>
      </c>
      <c r="G38" s="210">
        <v>26.712</v>
      </c>
      <c r="H38" s="210">
        <v>21.686567164179106</v>
      </c>
      <c r="I38" s="210"/>
      <c r="J38" s="211"/>
      <c r="K38" s="210"/>
      <c r="L38" s="210"/>
      <c r="M38" s="212"/>
      <c r="N38" s="212"/>
      <c r="O38" s="212"/>
      <c r="P38" s="212"/>
      <c r="Q38" s="212"/>
      <c r="R38" s="212"/>
      <c r="S38" s="212"/>
    </row>
    <row r="39" spans="1:19" x14ac:dyDescent="0.25">
      <c r="A39" s="233" t="s">
        <v>111</v>
      </c>
      <c r="B39" s="234">
        <v>2023</v>
      </c>
      <c r="C39" s="303">
        <f>523.5/30</f>
        <v>17.45</v>
      </c>
      <c r="D39" s="213">
        <f>1891.7/77</f>
        <v>24.56753246753247</v>
      </c>
      <c r="E39" s="213">
        <f>D39/D38*E38</f>
        <v>19.840413265394016</v>
      </c>
      <c r="F39" s="213">
        <f>826.6/50</f>
        <v>16.532</v>
      </c>
      <c r="G39" s="213">
        <f>211.36/7.5</f>
        <v>28.181333333333335</v>
      </c>
      <c r="H39" s="213">
        <f>275.3/13.4</f>
        <v>20.544776119402986</v>
      </c>
      <c r="I39" s="213"/>
      <c r="J39" s="214"/>
      <c r="K39" s="213"/>
      <c r="L39" s="213"/>
      <c r="M39" s="215"/>
      <c r="N39" s="215"/>
      <c r="O39" s="215"/>
      <c r="P39" s="215"/>
      <c r="Q39" s="215"/>
      <c r="R39" s="215"/>
      <c r="S39" s="215"/>
    </row>
    <row r="40" spans="1:19" x14ac:dyDescent="0.25">
      <c r="A40" s="208" t="s">
        <v>112</v>
      </c>
      <c r="B40" s="209">
        <v>2022</v>
      </c>
      <c r="C40" s="302">
        <v>15.779</v>
      </c>
      <c r="D40" s="210">
        <v>22.353000000000002</v>
      </c>
      <c r="E40" s="210">
        <v>18.241</v>
      </c>
      <c r="F40" s="210">
        <v>15.041</v>
      </c>
      <c r="G40" s="210">
        <v>0</v>
      </c>
      <c r="H40" s="210">
        <v>21.038</v>
      </c>
      <c r="I40" s="210">
        <v>25.48</v>
      </c>
      <c r="J40" s="211">
        <v>28.84</v>
      </c>
      <c r="K40" s="210"/>
      <c r="L40" s="210"/>
      <c r="M40" s="212"/>
      <c r="N40" s="212"/>
      <c r="O40" s="212"/>
      <c r="P40" s="212"/>
      <c r="Q40" s="212"/>
      <c r="R40" s="212"/>
      <c r="S40" s="212"/>
    </row>
    <row r="41" spans="1:19" x14ac:dyDescent="0.25">
      <c r="A41" s="233" t="s">
        <v>112</v>
      </c>
      <c r="B41" s="234">
        <v>2023</v>
      </c>
      <c r="C41" s="303">
        <v>16.678999999999998</v>
      </c>
      <c r="D41" s="213">
        <v>23.626999999999999</v>
      </c>
      <c r="E41" s="213">
        <v>19.280999999999999</v>
      </c>
      <c r="F41" s="213">
        <v>15.898</v>
      </c>
      <c r="G41" s="213">
        <v>0</v>
      </c>
      <c r="H41" s="213">
        <f>22.237</f>
        <v>22.236999999999998</v>
      </c>
      <c r="I41" s="213">
        <v>26.931999999999999</v>
      </c>
      <c r="J41" s="214">
        <v>30.193000000000001</v>
      </c>
      <c r="K41" s="213"/>
      <c r="L41" s="213"/>
      <c r="M41" s="215"/>
      <c r="N41" s="215"/>
      <c r="O41" s="215"/>
      <c r="P41" s="215"/>
      <c r="Q41" s="215"/>
      <c r="R41" s="215"/>
      <c r="S41" s="215"/>
    </row>
    <row r="42" spans="1:19" x14ac:dyDescent="0.25">
      <c r="A42" s="208" t="s">
        <v>113</v>
      </c>
      <c r="B42" s="209">
        <v>2022</v>
      </c>
      <c r="C42" s="302">
        <v>59.519182319999999</v>
      </c>
      <c r="D42" s="217"/>
      <c r="E42" s="217"/>
      <c r="F42" s="217"/>
      <c r="G42" s="217"/>
      <c r="H42" s="217"/>
      <c r="I42" s="217"/>
      <c r="J42" s="211"/>
      <c r="K42" s="218">
        <v>51.016100675372854</v>
      </c>
      <c r="L42" s="218">
        <v>50.730762365150454</v>
      </c>
      <c r="M42" s="236">
        <v>1051679.5101562499</v>
      </c>
      <c r="N42" s="236">
        <v>155</v>
      </c>
      <c r="O42" s="236">
        <v>282</v>
      </c>
      <c r="P42" s="236">
        <v>267</v>
      </c>
      <c r="Q42" s="236">
        <v>462</v>
      </c>
      <c r="R42" s="236">
        <v>447</v>
      </c>
      <c r="S42" s="236"/>
    </row>
    <row r="43" spans="1:19" x14ac:dyDescent="0.25">
      <c r="A43" s="233" t="s">
        <v>113</v>
      </c>
      <c r="B43" s="234">
        <v>2023</v>
      </c>
      <c r="C43" s="276">
        <f>C42*1.075</f>
        <v>63.983120993999997</v>
      </c>
      <c r="D43" s="237"/>
      <c r="E43" s="237"/>
      <c r="F43" s="237"/>
      <c r="G43" s="237"/>
      <c r="H43" s="237"/>
      <c r="I43" s="237"/>
      <c r="J43" s="214"/>
      <c r="K43" s="219">
        <f>($M43/$N43+O43*$C43)/Q43</f>
        <v>54.592642653163701</v>
      </c>
      <c r="L43" s="219">
        <f>($M43/$N43+P43*$C43)/R43</f>
        <v>54.277525930316841</v>
      </c>
      <c r="M43" s="238">
        <f>675300*1.15*1.125*1.125*1.07*1.058</f>
        <v>1112676.9217453124</v>
      </c>
      <c r="N43" s="333">
        <v>155</v>
      </c>
      <c r="O43" s="333">
        <v>282</v>
      </c>
      <c r="P43" s="333">
        <v>267</v>
      </c>
      <c r="Q43" s="333">
        <v>462</v>
      </c>
      <c r="R43" s="333">
        <v>447</v>
      </c>
      <c r="S43" s="215"/>
    </row>
    <row r="44" spans="1:19" x14ac:dyDescent="0.25">
      <c r="A44" s="208" t="s">
        <v>114</v>
      </c>
      <c r="B44" s="209">
        <v>2022</v>
      </c>
      <c r="C44" s="302">
        <v>51.177999999999997</v>
      </c>
      <c r="D44" s="217"/>
      <c r="E44" s="217"/>
      <c r="F44" s="217"/>
      <c r="G44" s="217"/>
      <c r="H44" s="217"/>
      <c r="I44" s="217"/>
      <c r="J44" s="211"/>
      <c r="K44" s="210"/>
      <c r="L44" s="210"/>
      <c r="M44" s="212"/>
      <c r="N44" s="212"/>
      <c r="O44" s="212"/>
      <c r="P44" s="212"/>
      <c r="Q44" s="212"/>
      <c r="R44" s="212"/>
      <c r="S44" s="212"/>
    </row>
    <row r="45" spans="1:19" x14ac:dyDescent="0.25">
      <c r="A45" s="233" t="s">
        <v>114</v>
      </c>
      <c r="B45" s="234">
        <v>2023</v>
      </c>
      <c r="C45" s="276">
        <f>C44*1.075</f>
        <v>55.016349999999996</v>
      </c>
      <c r="D45" s="237"/>
      <c r="E45" s="237"/>
      <c r="F45" s="237"/>
      <c r="G45" s="237"/>
      <c r="H45" s="237"/>
      <c r="I45" s="237"/>
      <c r="J45" s="214"/>
      <c r="K45" s="213"/>
      <c r="L45" s="213"/>
      <c r="M45" s="215"/>
      <c r="N45" s="215"/>
      <c r="O45" s="215"/>
      <c r="P45" s="215"/>
      <c r="Q45" s="215"/>
      <c r="R45" s="215"/>
      <c r="S45" s="215"/>
    </row>
    <row r="46" spans="1:19" x14ac:dyDescent="0.25">
      <c r="A46" s="208" t="s">
        <v>115</v>
      </c>
      <c r="B46" s="209">
        <v>2022</v>
      </c>
      <c r="C46" s="302">
        <v>46.750999999999998</v>
      </c>
      <c r="D46" s="217"/>
      <c r="E46" s="217"/>
      <c r="F46" s="217"/>
      <c r="G46" s="217"/>
      <c r="H46" s="217"/>
      <c r="I46" s="217"/>
      <c r="J46" s="211"/>
      <c r="K46" s="218">
        <v>41.607283109139082</v>
      </c>
      <c r="L46" s="218">
        <v>41.523475947700796</v>
      </c>
      <c r="M46" s="236">
        <v>1051679.5101562499</v>
      </c>
      <c r="N46" s="236">
        <v>155</v>
      </c>
      <c r="O46" s="236">
        <v>282</v>
      </c>
      <c r="P46" s="236">
        <v>267</v>
      </c>
      <c r="Q46" s="236">
        <v>462</v>
      </c>
      <c r="R46" s="236">
        <v>447</v>
      </c>
      <c r="S46" s="236"/>
    </row>
    <row r="47" spans="1:19" x14ac:dyDescent="0.25">
      <c r="A47" s="233" t="s">
        <v>115</v>
      </c>
      <c r="B47" s="234">
        <v>2023</v>
      </c>
      <c r="C47" s="276">
        <f>C46*1.075</f>
        <v>50.257324999999994</v>
      </c>
      <c r="D47" s="237"/>
      <c r="E47" s="237"/>
      <c r="F47" s="237"/>
      <c r="G47" s="237"/>
      <c r="H47" s="237"/>
      <c r="I47" s="237"/>
      <c r="J47" s="214"/>
      <c r="K47" s="219">
        <f>($M47/$N47+O47*$C47)/Q47</f>
        <v>46.214559384098756</v>
      </c>
      <c r="L47" s="219">
        <f>($M47/$N47+P47*$C47)/R47</f>
        <v>46.078896108397373</v>
      </c>
      <c r="M47" s="333">
        <f>M43</f>
        <v>1112676.9217453124</v>
      </c>
      <c r="N47" s="333">
        <v>155</v>
      </c>
      <c r="O47" s="333">
        <v>282</v>
      </c>
      <c r="P47" s="333">
        <v>267</v>
      </c>
      <c r="Q47" s="333">
        <v>462</v>
      </c>
      <c r="R47" s="333">
        <v>447</v>
      </c>
      <c r="S47" s="215"/>
    </row>
    <row r="48" spans="1:19" x14ac:dyDescent="0.25">
      <c r="A48" s="222"/>
      <c r="B48" s="223"/>
      <c r="C48" s="224"/>
      <c r="D48" s="224"/>
      <c r="E48" s="224"/>
      <c r="F48" s="224"/>
      <c r="G48" s="224"/>
      <c r="H48" s="224"/>
      <c r="I48" s="224"/>
      <c r="J48" s="239"/>
      <c r="K48" s="225"/>
      <c r="L48" s="225"/>
      <c r="M48" s="240"/>
      <c r="N48" s="240"/>
      <c r="O48" s="240"/>
      <c r="P48" s="240"/>
      <c r="Q48" s="240"/>
      <c r="R48" s="240"/>
      <c r="S48" s="240"/>
    </row>
    <row r="49" spans="1:19" x14ac:dyDescent="0.25">
      <c r="A49" s="208" t="s">
        <v>167</v>
      </c>
      <c r="B49" s="209">
        <v>2022</v>
      </c>
      <c r="C49" s="210"/>
      <c r="D49" s="210"/>
      <c r="E49" s="210"/>
      <c r="F49" s="210"/>
      <c r="G49" s="210"/>
      <c r="H49" s="210"/>
      <c r="I49" s="217"/>
      <c r="J49" s="211"/>
      <c r="K49" s="210"/>
      <c r="L49" s="210"/>
      <c r="M49" s="212"/>
      <c r="N49" s="212"/>
      <c r="O49" s="212"/>
      <c r="P49" s="212"/>
      <c r="Q49" s="212"/>
      <c r="R49" s="212"/>
      <c r="S49" s="212"/>
    </row>
    <row r="50" spans="1:19" x14ac:dyDescent="0.25">
      <c r="A50" s="233" t="s">
        <v>167</v>
      </c>
      <c r="B50" s="234">
        <v>2023</v>
      </c>
      <c r="C50" s="213"/>
      <c r="D50" s="213"/>
      <c r="E50" s="213"/>
      <c r="F50" s="213"/>
      <c r="G50" s="213"/>
      <c r="H50" s="213"/>
      <c r="I50" s="237"/>
      <c r="J50" s="214"/>
      <c r="K50" s="213"/>
      <c r="L50" s="213"/>
      <c r="M50" s="215"/>
      <c r="N50" s="215"/>
      <c r="O50" s="215"/>
      <c r="P50" s="215"/>
      <c r="Q50" s="215"/>
      <c r="R50" s="215"/>
      <c r="S50" s="215"/>
    </row>
    <row r="51" spans="1:19" x14ac:dyDescent="0.25">
      <c r="A51" s="208" t="s">
        <v>168</v>
      </c>
      <c r="B51" s="209">
        <v>2022</v>
      </c>
      <c r="C51" s="210"/>
      <c r="D51" s="210"/>
      <c r="E51" s="210"/>
      <c r="F51" s="210"/>
      <c r="G51" s="210"/>
      <c r="H51" s="210"/>
      <c r="I51" s="217"/>
      <c r="J51" s="211"/>
      <c r="K51" s="210"/>
      <c r="L51" s="210"/>
      <c r="M51" s="212"/>
      <c r="N51" s="212"/>
      <c r="O51" s="212"/>
      <c r="P51" s="212"/>
      <c r="Q51" s="212"/>
      <c r="R51" s="212"/>
      <c r="S51" s="212"/>
    </row>
    <row r="52" spans="1:19" x14ac:dyDescent="0.25">
      <c r="A52" s="233" t="s">
        <v>168</v>
      </c>
      <c r="B52" s="234">
        <v>2023</v>
      </c>
      <c r="C52" s="213"/>
      <c r="D52" s="213"/>
      <c r="E52" s="213"/>
      <c r="F52" s="213"/>
      <c r="G52" s="213"/>
      <c r="H52" s="213"/>
      <c r="I52" s="237"/>
      <c r="J52" s="214"/>
      <c r="K52" s="213"/>
      <c r="L52" s="213"/>
      <c r="M52" s="215"/>
      <c r="N52" s="215"/>
      <c r="O52" s="215"/>
      <c r="P52" s="215"/>
      <c r="Q52" s="215"/>
      <c r="R52" s="215"/>
      <c r="S52" s="215"/>
    </row>
    <row r="53" spans="1:19" x14ac:dyDescent="0.25">
      <c r="A53" s="208" t="s">
        <v>169</v>
      </c>
      <c r="B53" s="209">
        <v>2022</v>
      </c>
      <c r="C53" s="210"/>
      <c r="D53" s="210"/>
      <c r="E53" s="210"/>
      <c r="F53" s="210"/>
      <c r="G53" s="210"/>
      <c r="H53" s="210"/>
      <c r="I53" s="217"/>
      <c r="J53" s="211"/>
      <c r="K53" s="210"/>
      <c r="L53" s="210"/>
      <c r="M53" s="212"/>
      <c r="N53" s="212"/>
      <c r="O53" s="212"/>
      <c r="P53" s="212"/>
      <c r="Q53" s="212"/>
      <c r="R53" s="212"/>
      <c r="S53" s="212">
        <v>14.496666666666666</v>
      </c>
    </row>
    <row r="54" spans="1:19" x14ac:dyDescent="0.25">
      <c r="A54" s="233" t="s">
        <v>169</v>
      </c>
      <c r="B54" s="234">
        <v>2023</v>
      </c>
      <c r="C54" s="213"/>
      <c r="D54" s="213"/>
      <c r="E54" s="213"/>
      <c r="F54" s="213"/>
      <c r="G54" s="213"/>
      <c r="H54" s="213"/>
      <c r="I54" s="237"/>
      <c r="J54" s="214"/>
      <c r="K54" s="213"/>
      <c r="L54" s="213"/>
      <c r="M54" s="215"/>
      <c r="N54" s="215"/>
      <c r="O54" s="215"/>
      <c r="P54" s="215"/>
      <c r="Q54" s="215"/>
      <c r="R54" s="215"/>
      <c r="S54" s="213">
        <f>460.1/30</f>
        <v>15.336666666666668</v>
      </c>
    </row>
    <row r="55" spans="1:19" x14ac:dyDescent="0.25">
      <c r="A55" s="208" t="s">
        <v>170</v>
      </c>
      <c r="B55" s="209">
        <v>2022</v>
      </c>
      <c r="C55" s="210"/>
      <c r="D55" s="210"/>
      <c r="E55" s="210"/>
      <c r="F55" s="210"/>
      <c r="G55" s="210"/>
      <c r="H55" s="210"/>
      <c r="I55" s="217"/>
      <c r="J55" s="211"/>
      <c r="K55" s="210"/>
      <c r="L55" s="210"/>
      <c r="M55" s="212"/>
      <c r="N55" s="212"/>
      <c r="O55" s="212"/>
      <c r="P55" s="212"/>
      <c r="Q55" s="212"/>
      <c r="R55" s="212"/>
      <c r="S55" s="212">
        <v>15.443333333333333</v>
      </c>
    </row>
    <row r="56" spans="1:19" x14ac:dyDescent="0.25">
      <c r="A56" s="233" t="s">
        <v>170</v>
      </c>
      <c r="B56" s="234">
        <v>2023</v>
      </c>
      <c r="C56" s="213"/>
      <c r="D56" s="213"/>
      <c r="E56" s="213"/>
      <c r="F56" s="213"/>
      <c r="G56" s="213"/>
      <c r="H56" s="213"/>
      <c r="I56" s="237"/>
      <c r="J56" s="214"/>
      <c r="K56" s="213"/>
      <c r="L56" s="213"/>
      <c r="M56" s="215"/>
      <c r="N56" s="215"/>
      <c r="O56" s="215"/>
      <c r="P56" s="215"/>
      <c r="Q56" s="215"/>
      <c r="R56" s="215"/>
      <c r="S56" s="213">
        <f>490.2/30</f>
        <v>16.34</v>
      </c>
    </row>
    <row r="57" spans="1:19" x14ac:dyDescent="0.25">
      <c r="A57" s="226"/>
      <c r="B57" s="227"/>
      <c r="C57" s="228"/>
      <c r="D57" s="228"/>
      <c r="E57" s="228"/>
      <c r="F57" s="228"/>
      <c r="G57" s="228"/>
      <c r="H57" s="228"/>
      <c r="I57" s="228"/>
      <c r="J57" s="241"/>
      <c r="K57" s="229"/>
      <c r="L57" s="229"/>
      <c r="M57" s="242"/>
      <c r="N57" s="242"/>
      <c r="O57" s="242"/>
      <c r="P57" s="242"/>
      <c r="Q57" s="242"/>
      <c r="R57" s="242"/>
      <c r="S57" s="242"/>
    </row>
    <row r="58" spans="1:19" ht="45" x14ac:dyDescent="0.25">
      <c r="A58" s="216" t="s">
        <v>177</v>
      </c>
      <c r="B58" s="209">
        <v>2022</v>
      </c>
      <c r="C58" s="210">
        <v>20.7</v>
      </c>
      <c r="D58" s="210">
        <v>22.562337662337661</v>
      </c>
      <c r="E58" s="210">
        <v>18.408376963350786</v>
      </c>
      <c r="F58" s="210">
        <v>19.738</v>
      </c>
      <c r="G58" s="210">
        <v>25.759999999999998</v>
      </c>
      <c r="H58" s="210">
        <v>21.231343283582088</v>
      </c>
      <c r="I58" s="217"/>
      <c r="J58" s="211"/>
      <c r="K58" s="210"/>
      <c r="L58" s="210"/>
      <c r="M58" s="212"/>
      <c r="N58" s="212"/>
      <c r="O58" s="212"/>
      <c r="P58" s="212"/>
      <c r="Q58" s="212"/>
      <c r="R58" s="212"/>
      <c r="S58" s="212"/>
    </row>
    <row r="59" spans="1:19" ht="45" x14ac:dyDescent="0.25">
      <c r="A59" s="235" t="s">
        <v>177</v>
      </c>
      <c r="B59" s="234">
        <v>2023</v>
      </c>
      <c r="C59" s="213">
        <f>662.6/30</f>
        <v>22.086666666666666</v>
      </c>
      <c r="D59" s="213">
        <f>1852.8/77</f>
        <v>24.062337662337661</v>
      </c>
      <c r="E59" s="213">
        <f>375/19.1</f>
        <v>19.633507853403138</v>
      </c>
      <c r="F59" s="213">
        <f>1052.5/50</f>
        <v>21.05</v>
      </c>
      <c r="G59" s="213">
        <f>206/7.5</f>
        <v>27.466666666666665</v>
      </c>
      <c r="H59" s="213">
        <f>303.4/13.4</f>
        <v>22.641791044776117</v>
      </c>
      <c r="I59" s="237"/>
      <c r="J59" s="214"/>
      <c r="K59" s="213"/>
      <c r="L59" s="213"/>
      <c r="M59" s="215"/>
      <c r="N59" s="215"/>
      <c r="O59" s="215"/>
      <c r="P59" s="215"/>
      <c r="Q59" s="215"/>
      <c r="R59" s="215"/>
      <c r="S59" s="213"/>
    </row>
    <row r="60" spans="1:19" x14ac:dyDescent="0.25">
      <c r="A60" s="226"/>
      <c r="B60" s="227"/>
      <c r="C60" s="228"/>
      <c r="D60" s="228"/>
      <c r="E60" s="228"/>
      <c r="F60" s="228"/>
      <c r="G60" s="228"/>
      <c r="H60" s="228"/>
      <c r="I60" s="228"/>
      <c r="J60" s="241"/>
      <c r="K60" s="229"/>
      <c r="L60" s="229"/>
      <c r="M60" s="242"/>
      <c r="N60" s="242"/>
      <c r="O60" s="242"/>
      <c r="P60" s="242"/>
      <c r="Q60" s="242"/>
      <c r="R60" s="242"/>
      <c r="S60" s="242"/>
    </row>
    <row r="61" spans="1:19" x14ac:dyDescent="0.25">
      <c r="A61" s="208" t="s">
        <v>218</v>
      </c>
      <c r="B61" s="209">
        <v>2022</v>
      </c>
      <c r="C61" s="210">
        <v>15.92</v>
      </c>
      <c r="D61" s="210">
        <v>22.64</v>
      </c>
      <c r="E61" s="210">
        <v>18.34</v>
      </c>
      <c r="F61" s="210">
        <v>15.25</v>
      </c>
      <c r="G61" s="210">
        <v>0</v>
      </c>
      <c r="H61" s="210">
        <v>21.35</v>
      </c>
      <c r="I61" s="210"/>
      <c r="J61" s="211"/>
      <c r="K61" s="210"/>
      <c r="L61" s="210"/>
      <c r="M61" s="212"/>
      <c r="N61" s="212"/>
      <c r="O61" s="212"/>
      <c r="P61" s="212"/>
      <c r="Q61" s="212"/>
      <c r="R61" s="212"/>
      <c r="S61" s="212"/>
    </row>
    <row r="62" spans="1:19" x14ac:dyDescent="0.25">
      <c r="A62" s="233" t="s">
        <v>218</v>
      </c>
      <c r="B62" s="234">
        <v>2023</v>
      </c>
      <c r="C62" s="213">
        <f>16.71</f>
        <v>16.71</v>
      </c>
      <c r="D62" s="213">
        <v>23.77</v>
      </c>
      <c r="E62" s="213">
        <v>19.25</v>
      </c>
      <c r="F62" s="213">
        <v>16.010000000000002</v>
      </c>
      <c r="G62" s="213">
        <v>0</v>
      </c>
      <c r="H62" s="213">
        <v>21.18</v>
      </c>
      <c r="I62" s="213"/>
      <c r="J62" s="214"/>
      <c r="K62" s="213"/>
      <c r="L62" s="213"/>
      <c r="M62" s="215"/>
      <c r="N62" s="215"/>
      <c r="O62" s="215"/>
      <c r="P62" s="215"/>
      <c r="Q62" s="215"/>
      <c r="R62" s="215"/>
      <c r="S62" s="215"/>
    </row>
    <row r="63" spans="1:19" x14ac:dyDescent="0.25">
      <c r="A63" s="208" t="s">
        <v>244</v>
      </c>
      <c r="B63" s="209">
        <v>2022</v>
      </c>
      <c r="C63" s="210"/>
      <c r="D63" s="210"/>
      <c r="E63" s="210"/>
      <c r="F63" s="210"/>
      <c r="G63" s="210"/>
      <c r="H63" s="210"/>
      <c r="I63" s="210"/>
      <c r="J63" s="211"/>
      <c r="K63" s="210"/>
      <c r="L63" s="210"/>
      <c r="M63" s="212"/>
      <c r="N63" s="212"/>
      <c r="O63" s="212"/>
      <c r="P63" s="212"/>
      <c r="Q63" s="212"/>
      <c r="R63" s="212"/>
      <c r="S63" s="212"/>
    </row>
    <row r="64" spans="1:19" x14ac:dyDescent="0.25">
      <c r="A64" s="233" t="s">
        <v>244</v>
      </c>
      <c r="B64" s="234">
        <v>2023</v>
      </c>
      <c r="C64" s="213">
        <f>513.78/30</f>
        <v>17.125999999999998</v>
      </c>
      <c r="D64" s="213">
        <f>1902.98/77</f>
        <v>24.714025974025976</v>
      </c>
      <c r="E64" s="213">
        <f>275.27/19.1</f>
        <v>14.412041884816752</v>
      </c>
      <c r="F64" s="213">
        <f>816.15/50</f>
        <v>16.323</v>
      </c>
      <c r="G64" s="213">
        <f>230.82/7.5</f>
        <v>30.776</v>
      </c>
      <c r="H64" s="213">
        <f>192.45/8.9</f>
        <v>21.623595505617974</v>
      </c>
      <c r="I64" s="213"/>
      <c r="J64" s="214"/>
      <c r="K64" s="213"/>
      <c r="L64" s="213"/>
      <c r="M64" s="215"/>
      <c r="N64" s="215"/>
      <c r="O64" s="215"/>
      <c r="P64" s="215"/>
      <c r="Q64" s="215"/>
      <c r="R64" s="215"/>
      <c r="S64" s="215"/>
    </row>
  </sheetData>
  <sheetProtection algorithmName="SHA-512" hashValue="i5fqCJSiE0QneyZqnqHwt06GG/Va0Y2GqX201yJBlb+A+g9l75BbGHhEJQOjjeXA7C9SAe9NkNvJ1XozXb9dig==" saltValue="ld7yNT5HHfwk+TBbbjCGQA=="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Physician Comparative Tariffs</vt:lpstr>
      <vt:lpstr>RCFs</vt:lpstr>
      <vt:lpstr>'Physician Comparative Tariffs'!Print_Area</vt:lpstr>
      <vt:lpstr>'Physician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2023-02-06T13:46:43Z</cp:lastPrinted>
  <dcterms:created xsi:type="dcterms:W3CDTF">2007-01-02T12:57:15Z</dcterms:created>
  <dcterms:modified xsi:type="dcterms:W3CDTF">2023-02-07T08:54:30Z</dcterms:modified>
</cp:coreProperties>
</file>