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4\HealthMan\"/>
    </mc:Choice>
  </mc:AlternateContent>
  <xr:revisionPtr revIDLastSave="0" documentId="13_ncr:1_{EE3206F9-B831-405F-9155-6D367C70507A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SFP Compari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'SFP Comparitive Tariffs'!$A$1:$AE$84</definedName>
    <definedName name="_xlnm.Print_Titles" localSheetId="0">'SFP Comparitive Tariffs'!$A:$E,'SFP Comparitive Tariffs'!$1:$6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S32" i="1" l="1"/>
  <c r="H59" i="2" l="1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E39" i="2"/>
  <c r="D39" i="2"/>
  <c r="C39" i="2"/>
  <c r="H37" i="2"/>
  <c r="F37" i="2"/>
  <c r="E37" i="2"/>
  <c r="C37" i="2"/>
  <c r="D37" i="2" s="1"/>
  <c r="H35" i="2"/>
  <c r="G35" i="2"/>
  <c r="F35" i="2"/>
  <c r="E35" i="2"/>
  <c r="D35" i="2"/>
  <c r="C35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7" i="2"/>
  <c r="F7" i="2"/>
  <c r="D7" i="2"/>
  <c r="C7" i="2"/>
  <c r="L43" i="2" l="1"/>
  <c r="K43" i="2"/>
  <c r="L47" i="2"/>
  <c r="K47" i="2"/>
  <c r="Z17" i="1"/>
  <c r="Q36" i="1" l="1"/>
  <c r="P36" i="1" s="1"/>
  <c r="Q37" i="1"/>
  <c r="P37" i="1" s="1"/>
  <c r="Q38" i="1"/>
  <c r="P38" i="1" s="1"/>
  <c r="Q39" i="1"/>
  <c r="P39" i="1" s="1"/>
  <c r="Q40" i="1"/>
  <c r="P40" i="1" s="1"/>
  <c r="Q41" i="1"/>
  <c r="P41" i="1" s="1"/>
  <c r="Q42" i="1"/>
  <c r="P42" i="1" s="1"/>
  <c r="Q43" i="1"/>
  <c r="P43" i="1" s="1"/>
  <c r="Q44" i="1"/>
  <c r="P44" i="1" s="1"/>
  <c r="Q45" i="1"/>
  <c r="P45" i="1" s="1"/>
  <c r="Q46" i="1"/>
  <c r="P46" i="1" s="1"/>
  <c r="Q47" i="1"/>
  <c r="P47" i="1" s="1"/>
  <c r="Q48" i="1"/>
  <c r="P48" i="1" s="1"/>
  <c r="Q49" i="1"/>
  <c r="P49" i="1" s="1"/>
  <c r="Q50" i="1"/>
  <c r="P50" i="1" s="1"/>
  <c r="Q51" i="1"/>
  <c r="P51" i="1" s="1"/>
  <c r="Q52" i="1"/>
  <c r="P52" i="1" s="1"/>
  <c r="Q53" i="1"/>
  <c r="P53" i="1" s="1"/>
  <c r="Q54" i="1"/>
  <c r="P54" i="1" s="1"/>
  <c r="Q55" i="1"/>
  <c r="P55" i="1" s="1"/>
  <c r="Q56" i="1"/>
  <c r="P56" i="1" s="1"/>
  <c r="Q57" i="1"/>
  <c r="P57" i="1" s="1"/>
  <c r="Q58" i="1"/>
  <c r="P58" i="1" s="1"/>
  <c r="Q59" i="1"/>
  <c r="P59" i="1" s="1"/>
  <c r="Q60" i="1"/>
  <c r="P60" i="1" s="1"/>
  <c r="Q61" i="1"/>
  <c r="P61" i="1" s="1"/>
  <c r="Q62" i="1"/>
  <c r="P62" i="1" s="1"/>
  <c r="Q63" i="1"/>
  <c r="P63" i="1" s="1"/>
  <c r="Q64" i="1"/>
  <c r="P64" i="1" s="1"/>
  <c r="Q65" i="1"/>
  <c r="P65" i="1" s="1"/>
  <c r="Q66" i="1"/>
  <c r="P66" i="1" s="1"/>
  <c r="Q67" i="1"/>
  <c r="P67" i="1" s="1"/>
  <c r="Q68" i="1"/>
  <c r="P68" i="1" s="1"/>
  <c r="Q69" i="1"/>
  <c r="P69" i="1" s="1"/>
  <c r="Q70" i="1"/>
  <c r="P70" i="1" s="1"/>
  <c r="Q71" i="1"/>
  <c r="P71" i="1" s="1"/>
  <c r="Q72" i="1"/>
  <c r="P72" i="1" s="1"/>
  <c r="Q73" i="1"/>
  <c r="P73" i="1" s="1"/>
  <c r="Q74" i="1"/>
  <c r="P74" i="1" s="1"/>
  <c r="Q75" i="1"/>
  <c r="P75" i="1" s="1"/>
  <c r="Q76" i="1"/>
  <c r="P76" i="1" s="1"/>
  <c r="Q77" i="1"/>
  <c r="P77" i="1" s="1"/>
  <c r="Q78" i="1"/>
  <c r="P78" i="1" s="1"/>
  <c r="Q79" i="1"/>
  <c r="P79" i="1" s="1"/>
  <c r="Q80" i="1"/>
  <c r="P80" i="1" s="1"/>
  <c r="Q81" i="1"/>
  <c r="P81" i="1" s="1"/>
  <c r="Q82" i="1"/>
  <c r="P82" i="1" s="1"/>
  <c r="Y11" i="1" l="1"/>
  <c r="Y12" i="1"/>
  <c r="Y13" i="1"/>
  <c r="Y14" i="1"/>
  <c r="Y15" i="1"/>
  <c r="Y16" i="1"/>
  <c r="Y17" i="1"/>
  <c r="Y18" i="1"/>
  <c r="Y19" i="1"/>
  <c r="Y20" i="1"/>
  <c r="Y23" i="1"/>
  <c r="Y24" i="1"/>
  <c r="Y25" i="1"/>
  <c r="Y26" i="1"/>
  <c r="Y27" i="1"/>
  <c r="Y28" i="1"/>
  <c r="Y29" i="1"/>
  <c r="Y30" i="1"/>
  <c r="Y31" i="1"/>
  <c r="Y32" i="1"/>
  <c r="Y10" i="1"/>
  <c r="Q11" i="1"/>
  <c r="Q12" i="1"/>
  <c r="Q13" i="1"/>
  <c r="Q14" i="1"/>
  <c r="Q15" i="1"/>
  <c r="Q16" i="1"/>
  <c r="Q17" i="1"/>
  <c r="Q18" i="1"/>
  <c r="Q19" i="1"/>
  <c r="Q20" i="1"/>
  <c r="Q23" i="1"/>
  <c r="Q24" i="1"/>
  <c r="Q25" i="1"/>
  <c r="Q26" i="1"/>
  <c r="Q27" i="1"/>
  <c r="Q28" i="1"/>
  <c r="Q29" i="1"/>
  <c r="Q30" i="1"/>
  <c r="Q31" i="1"/>
  <c r="Q32" i="1"/>
  <c r="Q10" i="1"/>
  <c r="AC37" i="1" l="1"/>
  <c r="AB37" i="1" s="1"/>
  <c r="AC38" i="1"/>
  <c r="AB38" i="1" s="1"/>
  <c r="AC39" i="1"/>
  <c r="AB39" i="1" s="1"/>
  <c r="AC40" i="1"/>
  <c r="AB40" i="1" s="1"/>
  <c r="AC41" i="1"/>
  <c r="AB41" i="1" s="1"/>
  <c r="AC42" i="1"/>
  <c r="AB42" i="1" s="1"/>
  <c r="AC43" i="1"/>
  <c r="AB43" i="1" s="1"/>
  <c r="AC44" i="1"/>
  <c r="AB44" i="1" s="1"/>
  <c r="AC45" i="1"/>
  <c r="AB45" i="1" s="1"/>
  <c r="AC46" i="1"/>
  <c r="AB46" i="1" s="1"/>
  <c r="AC47" i="1"/>
  <c r="AB47" i="1" s="1"/>
  <c r="AC48" i="1"/>
  <c r="AB48" i="1" s="1"/>
  <c r="AC49" i="1"/>
  <c r="AB49" i="1" s="1"/>
  <c r="AC50" i="1"/>
  <c r="AB50" i="1" s="1"/>
  <c r="AC51" i="1"/>
  <c r="AB51" i="1" s="1"/>
  <c r="AC52" i="1"/>
  <c r="AB52" i="1" s="1"/>
  <c r="AC53" i="1"/>
  <c r="AB53" i="1" s="1"/>
  <c r="AC54" i="1"/>
  <c r="AB54" i="1" s="1"/>
  <c r="AC55" i="1"/>
  <c r="AB55" i="1" s="1"/>
  <c r="AC56" i="1"/>
  <c r="AB56" i="1" s="1"/>
  <c r="AC57" i="1"/>
  <c r="AB57" i="1" s="1"/>
  <c r="AC58" i="1"/>
  <c r="AB58" i="1" s="1"/>
  <c r="AC59" i="1"/>
  <c r="AB59" i="1" s="1"/>
  <c r="AC60" i="1"/>
  <c r="AB60" i="1" s="1"/>
  <c r="AC61" i="1"/>
  <c r="AB61" i="1" s="1"/>
  <c r="AC62" i="1"/>
  <c r="AB62" i="1" s="1"/>
  <c r="AC63" i="1"/>
  <c r="AB63" i="1" s="1"/>
  <c r="AC64" i="1"/>
  <c r="AB64" i="1" s="1"/>
  <c r="AC65" i="1"/>
  <c r="AB65" i="1" s="1"/>
  <c r="AC66" i="1"/>
  <c r="AB66" i="1" s="1"/>
  <c r="AC67" i="1"/>
  <c r="AB67" i="1" s="1"/>
  <c r="AC68" i="1"/>
  <c r="AB68" i="1" s="1"/>
  <c r="AC69" i="1"/>
  <c r="AB69" i="1" s="1"/>
  <c r="AC70" i="1"/>
  <c r="AB70" i="1" s="1"/>
  <c r="AC71" i="1"/>
  <c r="AB71" i="1" s="1"/>
  <c r="AC72" i="1"/>
  <c r="AB72" i="1" s="1"/>
  <c r="AC73" i="1"/>
  <c r="AB73" i="1" s="1"/>
  <c r="AC74" i="1"/>
  <c r="AB74" i="1" s="1"/>
  <c r="AC75" i="1"/>
  <c r="AB75" i="1" s="1"/>
  <c r="AC76" i="1"/>
  <c r="AB76" i="1" s="1"/>
  <c r="AC77" i="1"/>
  <c r="AB77" i="1" s="1"/>
  <c r="AC78" i="1"/>
  <c r="AB78" i="1" s="1"/>
  <c r="AC79" i="1"/>
  <c r="AB79" i="1" s="1"/>
  <c r="AC80" i="1"/>
  <c r="AB80" i="1" s="1"/>
  <c r="AC81" i="1"/>
  <c r="AB81" i="1" s="1"/>
  <c r="AC82" i="1"/>
  <c r="AB82" i="1" s="1"/>
  <c r="AC36" i="1"/>
  <c r="AB36" i="1" s="1"/>
  <c r="S39" i="1"/>
  <c r="R39" i="1" s="1"/>
  <c r="S40" i="1"/>
  <c r="R40" i="1" s="1"/>
  <c r="S41" i="1"/>
  <c r="R41" i="1" s="1"/>
  <c r="S42" i="1"/>
  <c r="R42" i="1" s="1"/>
  <c r="S43" i="1"/>
  <c r="R43" i="1" s="1"/>
  <c r="S44" i="1"/>
  <c r="R44" i="1" s="1"/>
  <c r="S45" i="1"/>
  <c r="R45" i="1" s="1"/>
  <c r="S46" i="1"/>
  <c r="R46" i="1" s="1"/>
  <c r="S47" i="1"/>
  <c r="R47" i="1" s="1"/>
  <c r="S48" i="1"/>
  <c r="R48" i="1" s="1"/>
  <c r="S49" i="1"/>
  <c r="R49" i="1" s="1"/>
  <c r="S50" i="1"/>
  <c r="R50" i="1" s="1"/>
  <c r="S51" i="1"/>
  <c r="R51" i="1" s="1"/>
  <c r="S52" i="1"/>
  <c r="R52" i="1" s="1"/>
  <c r="S53" i="1"/>
  <c r="R53" i="1" s="1"/>
  <c r="S54" i="1"/>
  <c r="R54" i="1" s="1"/>
  <c r="S55" i="1"/>
  <c r="R55" i="1" s="1"/>
  <c r="S56" i="1"/>
  <c r="R56" i="1" s="1"/>
  <c r="S57" i="1"/>
  <c r="R57" i="1" s="1"/>
  <c r="S58" i="1"/>
  <c r="R58" i="1" s="1"/>
  <c r="S59" i="1"/>
  <c r="R59" i="1" s="1"/>
  <c r="S60" i="1"/>
  <c r="R60" i="1" s="1"/>
  <c r="S61" i="1"/>
  <c r="R61" i="1" s="1"/>
  <c r="S62" i="1"/>
  <c r="R62" i="1" s="1"/>
  <c r="S63" i="1"/>
  <c r="R63" i="1" s="1"/>
  <c r="S64" i="1"/>
  <c r="R64" i="1" s="1"/>
  <c r="S65" i="1"/>
  <c r="R65" i="1" s="1"/>
  <c r="S66" i="1"/>
  <c r="R66" i="1" s="1"/>
  <c r="S67" i="1"/>
  <c r="R67" i="1" s="1"/>
  <c r="S68" i="1"/>
  <c r="R68" i="1" s="1"/>
  <c r="S69" i="1"/>
  <c r="R69" i="1" s="1"/>
  <c r="S70" i="1"/>
  <c r="R70" i="1" s="1"/>
  <c r="S71" i="1"/>
  <c r="R71" i="1" s="1"/>
  <c r="S72" i="1"/>
  <c r="R72" i="1" s="1"/>
  <c r="S73" i="1"/>
  <c r="R73" i="1" s="1"/>
  <c r="S74" i="1"/>
  <c r="R74" i="1" s="1"/>
  <c r="S75" i="1"/>
  <c r="R75" i="1" s="1"/>
  <c r="S76" i="1"/>
  <c r="R76" i="1" s="1"/>
  <c r="S77" i="1"/>
  <c r="R77" i="1" s="1"/>
  <c r="S78" i="1"/>
  <c r="R78" i="1" s="1"/>
  <c r="S79" i="1"/>
  <c r="R79" i="1" s="1"/>
  <c r="S80" i="1"/>
  <c r="R80" i="1" s="1"/>
  <c r="S81" i="1"/>
  <c r="R81" i="1" s="1"/>
  <c r="S82" i="1"/>
  <c r="R82" i="1" s="1"/>
  <c r="S38" i="1"/>
  <c r="R38" i="1" s="1"/>
  <c r="S37" i="1"/>
  <c r="R37" i="1" s="1"/>
  <c r="S36" i="1"/>
  <c r="R36" i="1" s="1"/>
  <c r="K38" i="1"/>
  <c r="J38" i="1" s="1"/>
  <c r="K39" i="1"/>
  <c r="J39" i="1" s="1"/>
  <c r="K40" i="1"/>
  <c r="J40" i="1" s="1"/>
  <c r="K41" i="1"/>
  <c r="J41" i="1" s="1"/>
  <c r="K42" i="1"/>
  <c r="J42" i="1" s="1"/>
  <c r="K43" i="1"/>
  <c r="J43" i="1" s="1"/>
  <c r="K44" i="1"/>
  <c r="J44" i="1" s="1"/>
  <c r="K45" i="1"/>
  <c r="J45" i="1" s="1"/>
  <c r="K46" i="1"/>
  <c r="J46" i="1" s="1"/>
  <c r="K47" i="1"/>
  <c r="J47" i="1" s="1"/>
  <c r="K48" i="1"/>
  <c r="J48" i="1" s="1"/>
  <c r="K49" i="1"/>
  <c r="J49" i="1" s="1"/>
  <c r="K50" i="1"/>
  <c r="J50" i="1" s="1"/>
  <c r="K51" i="1"/>
  <c r="J51" i="1" s="1"/>
  <c r="K52" i="1"/>
  <c r="J52" i="1" s="1"/>
  <c r="K53" i="1"/>
  <c r="J53" i="1" s="1"/>
  <c r="K54" i="1"/>
  <c r="J54" i="1" s="1"/>
  <c r="K55" i="1"/>
  <c r="J55" i="1" s="1"/>
  <c r="K56" i="1"/>
  <c r="J56" i="1" s="1"/>
  <c r="K57" i="1"/>
  <c r="J57" i="1" s="1"/>
  <c r="K58" i="1"/>
  <c r="J58" i="1" s="1"/>
  <c r="K59" i="1"/>
  <c r="J59" i="1" s="1"/>
  <c r="K60" i="1"/>
  <c r="J60" i="1" s="1"/>
  <c r="K61" i="1"/>
  <c r="J61" i="1" s="1"/>
  <c r="K62" i="1"/>
  <c r="J62" i="1" s="1"/>
  <c r="K63" i="1"/>
  <c r="J63" i="1" s="1"/>
  <c r="K64" i="1"/>
  <c r="J64" i="1" s="1"/>
  <c r="K65" i="1"/>
  <c r="J65" i="1" s="1"/>
  <c r="K66" i="1"/>
  <c r="J66" i="1" s="1"/>
  <c r="K67" i="1"/>
  <c r="J67" i="1" s="1"/>
  <c r="K68" i="1"/>
  <c r="J68" i="1" s="1"/>
  <c r="K69" i="1"/>
  <c r="J69" i="1" s="1"/>
  <c r="K70" i="1"/>
  <c r="J70" i="1" s="1"/>
  <c r="K71" i="1"/>
  <c r="J71" i="1" s="1"/>
  <c r="K72" i="1"/>
  <c r="J72" i="1" s="1"/>
  <c r="K73" i="1"/>
  <c r="J73" i="1" s="1"/>
  <c r="K74" i="1"/>
  <c r="J74" i="1" s="1"/>
  <c r="K75" i="1"/>
  <c r="J75" i="1" s="1"/>
  <c r="K76" i="1"/>
  <c r="J76" i="1" s="1"/>
  <c r="K77" i="1"/>
  <c r="J77" i="1" s="1"/>
  <c r="K78" i="1"/>
  <c r="J78" i="1" s="1"/>
  <c r="K79" i="1"/>
  <c r="J79" i="1" s="1"/>
  <c r="K80" i="1"/>
  <c r="J80" i="1" s="1"/>
  <c r="K81" i="1"/>
  <c r="J81" i="1" s="1"/>
  <c r="K82" i="1"/>
  <c r="J82" i="1" s="1"/>
  <c r="K37" i="1"/>
  <c r="J37" i="1" s="1"/>
  <c r="K36" i="1"/>
  <c r="J36" i="1" s="1"/>
  <c r="U31" i="1" l="1"/>
  <c r="S24" i="1"/>
  <c r="S23" i="1"/>
  <c r="N17" i="1"/>
  <c r="L17" i="1"/>
  <c r="K24" i="1"/>
  <c r="K23" i="1"/>
  <c r="F17" i="1"/>
  <c r="G17" i="1" l="1"/>
  <c r="I17" i="1"/>
  <c r="M17" i="1"/>
  <c r="O17" i="1"/>
  <c r="U17" i="1"/>
  <c r="W17" i="1"/>
  <c r="AA17" i="1"/>
  <c r="AC17" i="1"/>
  <c r="AE17" i="1"/>
  <c r="AD17" i="1" s="1"/>
  <c r="G71" i="1" l="1"/>
  <c r="F71" i="1" s="1"/>
  <c r="I71" i="1"/>
  <c r="H71" i="1" s="1"/>
  <c r="M71" i="1"/>
  <c r="L71" i="1" s="1"/>
  <c r="O71" i="1"/>
  <c r="N71" i="1" s="1"/>
  <c r="Y71" i="1"/>
  <c r="X71" i="1" s="1"/>
  <c r="AE71" i="1"/>
  <c r="AD71" i="1" s="1"/>
  <c r="AE31" i="1" l="1"/>
  <c r="AC31" i="1"/>
  <c r="AA31" i="1"/>
  <c r="W31" i="1"/>
  <c r="S31" i="1"/>
  <c r="O31" i="1"/>
  <c r="M31" i="1"/>
  <c r="K31" i="1"/>
  <c r="I31" i="1"/>
  <c r="G31" i="1"/>
  <c r="I32" i="1"/>
  <c r="W71" i="1" l="1"/>
  <c r="V71" i="1" s="1"/>
  <c r="AA71" i="1"/>
  <c r="Z71" i="1" s="1"/>
  <c r="U71" i="1"/>
  <c r="T71" i="1" s="1"/>
  <c r="AE19" i="1" l="1"/>
  <c r="AE36" i="1" l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2" i="1"/>
  <c r="AE73" i="1"/>
  <c r="AE74" i="1"/>
  <c r="AE75" i="1"/>
  <c r="AE76" i="1"/>
  <c r="AE77" i="1"/>
  <c r="AE78" i="1"/>
  <c r="AE79" i="1"/>
  <c r="AE80" i="1"/>
  <c r="AE81" i="1"/>
  <c r="AE82" i="1"/>
  <c r="AA36" i="1"/>
  <c r="Z36" i="1" s="1"/>
  <c r="AA37" i="1"/>
  <c r="Z37" i="1" s="1"/>
  <c r="AA38" i="1"/>
  <c r="Z38" i="1" s="1"/>
  <c r="AA39" i="1"/>
  <c r="Z39" i="1" s="1"/>
  <c r="AA40" i="1"/>
  <c r="Z40" i="1" s="1"/>
  <c r="AA41" i="1"/>
  <c r="Z41" i="1" s="1"/>
  <c r="AA42" i="1"/>
  <c r="Z42" i="1" s="1"/>
  <c r="AA43" i="1"/>
  <c r="Z43" i="1" s="1"/>
  <c r="AA44" i="1"/>
  <c r="Z44" i="1" s="1"/>
  <c r="AA45" i="1"/>
  <c r="Z45" i="1" s="1"/>
  <c r="AA46" i="1"/>
  <c r="Z46" i="1" s="1"/>
  <c r="AA47" i="1"/>
  <c r="Z47" i="1" s="1"/>
  <c r="AA48" i="1"/>
  <c r="Z48" i="1" s="1"/>
  <c r="AA49" i="1"/>
  <c r="Z49" i="1" s="1"/>
  <c r="AA50" i="1"/>
  <c r="Z50" i="1" s="1"/>
  <c r="AA51" i="1"/>
  <c r="Z51" i="1" s="1"/>
  <c r="AA52" i="1"/>
  <c r="Z52" i="1" s="1"/>
  <c r="AA53" i="1"/>
  <c r="Z53" i="1" s="1"/>
  <c r="AA54" i="1"/>
  <c r="Z54" i="1" s="1"/>
  <c r="AA55" i="1"/>
  <c r="Z55" i="1" s="1"/>
  <c r="AA56" i="1"/>
  <c r="Z56" i="1" s="1"/>
  <c r="AA57" i="1"/>
  <c r="Z57" i="1" s="1"/>
  <c r="AA58" i="1"/>
  <c r="Z58" i="1" s="1"/>
  <c r="AA59" i="1"/>
  <c r="Z59" i="1" s="1"/>
  <c r="AA60" i="1"/>
  <c r="Z60" i="1" s="1"/>
  <c r="AA61" i="1"/>
  <c r="Z61" i="1" s="1"/>
  <c r="AA62" i="1"/>
  <c r="Z62" i="1" s="1"/>
  <c r="AA63" i="1"/>
  <c r="Z63" i="1" s="1"/>
  <c r="AA64" i="1"/>
  <c r="Z64" i="1" s="1"/>
  <c r="AA65" i="1"/>
  <c r="Z65" i="1" s="1"/>
  <c r="AA66" i="1"/>
  <c r="Z66" i="1" s="1"/>
  <c r="AA67" i="1"/>
  <c r="Z67" i="1" s="1"/>
  <c r="AA68" i="1"/>
  <c r="Z68" i="1" s="1"/>
  <c r="AA69" i="1"/>
  <c r="Z69" i="1" s="1"/>
  <c r="AA70" i="1"/>
  <c r="Z70" i="1" s="1"/>
  <c r="AA72" i="1"/>
  <c r="Z72" i="1" s="1"/>
  <c r="AA73" i="1"/>
  <c r="Z73" i="1" s="1"/>
  <c r="AA74" i="1"/>
  <c r="Z74" i="1" s="1"/>
  <c r="AA75" i="1"/>
  <c r="Z75" i="1" s="1"/>
  <c r="AA76" i="1"/>
  <c r="Z76" i="1" s="1"/>
  <c r="AA77" i="1"/>
  <c r="Z77" i="1" s="1"/>
  <c r="AA78" i="1"/>
  <c r="Z78" i="1" s="1"/>
  <c r="AA79" i="1"/>
  <c r="Z79" i="1" s="1"/>
  <c r="AA80" i="1"/>
  <c r="Z80" i="1" s="1"/>
  <c r="AA81" i="1"/>
  <c r="Z81" i="1" s="1"/>
  <c r="AA82" i="1"/>
  <c r="Z82" i="1" s="1"/>
  <c r="M36" i="1"/>
  <c r="O36" i="1"/>
  <c r="N36" i="1" s="1"/>
  <c r="U36" i="1"/>
  <c r="T36" i="1" s="1"/>
  <c r="W36" i="1"/>
  <c r="V36" i="1" s="1"/>
  <c r="M37" i="1"/>
  <c r="O37" i="1"/>
  <c r="N37" i="1" s="1"/>
  <c r="U37" i="1"/>
  <c r="T37" i="1" s="1"/>
  <c r="W37" i="1"/>
  <c r="V37" i="1" s="1"/>
  <c r="M38" i="1"/>
  <c r="O38" i="1"/>
  <c r="N38" i="1" s="1"/>
  <c r="U38" i="1"/>
  <c r="T38" i="1" s="1"/>
  <c r="W38" i="1"/>
  <c r="V38" i="1" s="1"/>
  <c r="M39" i="1"/>
  <c r="O39" i="1"/>
  <c r="N39" i="1" s="1"/>
  <c r="U39" i="1"/>
  <c r="T39" i="1" s="1"/>
  <c r="W39" i="1"/>
  <c r="V39" i="1" s="1"/>
  <c r="M40" i="1"/>
  <c r="O40" i="1"/>
  <c r="N40" i="1" s="1"/>
  <c r="U40" i="1"/>
  <c r="T40" i="1" s="1"/>
  <c r="W40" i="1"/>
  <c r="V40" i="1" s="1"/>
  <c r="M41" i="1"/>
  <c r="O41" i="1"/>
  <c r="N41" i="1" s="1"/>
  <c r="U41" i="1"/>
  <c r="T41" i="1" s="1"/>
  <c r="W41" i="1"/>
  <c r="V41" i="1" s="1"/>
  <c r="M42" i="1"/>
  <c r="O42" i="1"/>
  <c r="N42" i="1" s="1"/>
  <c r="U42" i="1"/>
  <c r="T42" i="1" s="1"/>
  <c r="W42" i="1"/>
  <c r="V42" i="1" s="1"/>
  <c r="M43" i="1"/>
  <c r="O43" i="1"/>
  <c r="N43" i="1" s="1"/>
  <c r="U43" i="1"/>
  <c r="T43" i="1" s="1"/>
  <c r="W43" i="1"/>
  <c r="V43" i="1" s="1"/>
  <c r="M44" i="1"/>
  <c r="O44" i="1"/>
  <c r="N44" i="1" s="1"/>
  <c r="U44" i="1"/>
  <c r="T44" i="1" s="1"/>
  <c r="W44" i="1"/>
  <c r="V44" i="1" s="1"/>
  <c r="M45" i="1"/>
  <c r="O45" i="1"/>
  <c r="N45" i="1" s="1"/>
  <c r="U45" i="1"/>
  <c r="T45" i="1" s="1"/>
  <c r="W45" i="1"/>
  <c r="V45" i="1" s="1"/>
  <c r="M46" i="1"/>
  <c r="O46" i="1"/>
  <c r="N46" i="1" s="1"/>
  <c r="U46" i="1"/>
  <c r="T46" i="1" s="1"/>
  <c r="W46" i="1"/>
  <c r="V46" i="1" s="1"/>
  <c r="M47" i="1"/>
  <c r="O47" i="1"/>
  <c r="N47" i="1" s="1"/>
  <c r="U47" i="1"/>
  <c r="T47" i="1" s="1"/>
  <c r="W47" i="1"/>
  <c r="V47" i="1" s="1"/>
  <c r="M48" i="1"/>
  <c r="O48" i="1"/>
  <c r="N48" i="1" s="1"/>
  <c r="U48" i="1"/>
  <c r="T48" i="1" s="1"/>
  <c r="W48" i="1"/>
  <c r="V48" i="1" s="1"/>
  <c r="M49" i="1"/>
  <c r="O49" i="1"/>
  <c r="N49" i="1" s="1"/>
  <c r="U49" i="1"/>
  <c r="T49" i="1" s="1"/>
  <c r="W49" i="1"/>
  <c r="V49" i="1" s="1"/>
  <c r="M50" i="1"/>
  <c r="O50" i="1"/>
  <c r="N50" i="1" s="1"/>
  <c r="U50" i="1"/>
  <c r="T50" i="1" s="1"/>
  <c r="W50" i="1"/>
  <c r="V50" i="1" s="1"/>
  <c r="M51" i="1"/>
  <c r="O51" i="1"/>
  <c r="N51" i="1" s="1"/>
  <c r="U51" i="1"/>
  <c r="T51" i="1" s="1"/>
  <c r="W51" i="1"/>
  <c r="V51" i="1" s="1"/>
  <c r="M52" i="1"/>
  <c r="O52" i="1"/>
  <c r="N52" i="1" s="1"/>
  <c r="U52" i="1"/>
  <c r="T52" i="1" s="1"/>
  <c r="W52" i="1"/>
  <c r="V52" i="1" s="1"/>
  <c r="M53" i="1"/>
  <c r="O53" i="1"/>
  <c r="N53" i="1" s="1"/>
  <c r="U53" i="1"/>
  <c r="T53" i="1" s="1"/>
  <c r="W53" i="1"/>
  <c r="V53" i="1" s="1"/>
  <c r="M54" i="1"/>
  <c r="O54" i="1"/>
  <c r="N54" i="1" s="1"/>
  <c r="U54" i="1"/>
  <c r="T54" i="1" s="1"/>
  <c r="W54" i="1"/>
  <c r="V54" i="1" s="1"/>
  <c r="M55" i="1"/>
  <c r="O55" i="1"/>
  <c r="N55" i="1" s="1"/>
  <c r="U55" i="1"/>
  <c r="T55" i="1" s="1"/>
  <c r="W55" i="1"/>
  <c r="V55" i="1" s="1"/>
  <c r="M56" i="1"/>
  <c r="O56" i="1"/>
  <c r="N56" i="1" s="1"/>
  <c r="U56" i="1"/>
  <c r="T56" i="1" s="1"/>
  <c r="W56" i="1"/>
  <c r="V56" i="1" s="1"/>
  <c r="M57" i="1"/>
  <c r="O57" i="1"/>
  <c r="N57" i="1" s="1"/>
  <c r="U57" i="1"/>
  <c r="T57" i="1" s="1"/>
  <c r="W57" i="1"/>
  <c r="V57" i="1" s="1"/>
  <c r="M58" i="1"/>
  <c r="O58" i="1"/>
  <c r="N58" i="1" s="1"/>
  <c r="U58" i="1"/>
  <c r="T58" i="1" s="1"/>
  <c r="W58" i="1"/>
  <c r="V58" i="1" s="1"/>
  <c r="M59" i="1"/>
  <c r="O59" i="1"/>
  <c r="N59" i="1" s="1"/>
  <c r="U59" i="1"/>
  <c r="T59" i="1" s="1"/>
  <c r="W59" i="1"/>
  <c r="V59" i="1" s="1"/>
  <c r="M60" i="1"/>
  <c r="O60" i="1"/>
  <c r="N60" i="1" s="1"/>
  <c r="U60" i="1"/>
  <c r="T60" i="1" s="1"/>
  <c r="W60" i="1"/>
  <c r="V60" i="1" s="1"/>
  <c r="M61" i="1"/>
  <c r="O61" i="1"/>
  <c r="N61" i="1" s="1"/>
  <c r="U61" i="1"/>
  <c r="T61" i="1" s="1"/>
  <c r="W61" i="1"/>
  <c r="V61" i="1" s="1"/>
  <c r="M62" i="1"/>
  <c r="O62" i="1"/>
  <c r="N62" i="1" s="1"/>
  <c r="U62" i="1"/>
  <c r="T62" i="1" s="1"/>
  <c r="W62" i="1"/>
  <c r="V62" i="1" s="1"/>
  <c r="M63" i="1"/>
  <c r="O63" i="1"/>
  <c r="N63" i="1" s="1"/>
  <c r="U63" i="1"/>
  <c r="T63" i="1" s="1"/>
  <c r="W63" i="1"/>
  <c r="V63" i="1" s="1"/>
  <c r="M64" i="1"/>
  <c r="O64" i="1"/>
  <c r="N64" i="1" s="1"/>
  <c r="U64" i="1"/>
  <c r="T64" i="1" s="1"/>
  <c r="W64" i="1"/>
  <c r="V64" i="1" s="1"/>
  <c r="M65" i="1"/>
  <c r="O65" i="1"/>
  <c r="N65" i="1" s="1"/>
  <c r="U65" i="1"/>
  <c r="T65" i="1" s="1"/>
  <c r="W65" i="1"/>
  <c r="V65" i="1" s="1"/>
  <c r="M66" i="1"/>
  <c r="O66" i="1"/>
  <c r="N66" i="1" s="1"/>
  <c r="U66" i="1"/>
  <c r="T66" i="1" s="1"/>
  <c r="W66" i="1"/>
  <c r="V66" i="1" s="1"/>
  <c r="M67" i="1"/>
  <c r="O67" i="1"/>
  <c r="N67" i="1" s="1"/>
  <c r="U67" i="1"/>
  <c r="T67" i="1" s="1"/>
  <c r="W67" i="1"/>
  <c r="V67" i="1" s="1"/>
  <c r="M68" i="1"/>
  <c r="O68" i="1"/>
  <c r="N68" i="1" s="1"/>
  <c r="U68" i="1"/>
  <c r="T68" i="1" s="1"/>
  <c r="W68" i="1"/>
  <c r="V68" i="1" s="1"/>
  <c r="M69" i="1"/>
  <c r="O69" i="1"/>
  <c r="N69" i="1" s="1"/>
  <c r="U69" i="1"/>
  <c r="T69" i="1" s="1"/>
  <c r="W69" i="1"/>
  <c r="V69" i="1" s="1"/>
  <c r="M70" i="1"/>
  <c r="O70" i="1"/>
  <c r="N70" i="1" s="1"/>
  <c r="U70" i="1"/>
  <c r="T70" i="1" s="1"/>
  <c r="W70" i="1"/>
  <c r="V70" i="1" s="1"/>
  <c r="M72" i="1"/>
  <c r="O72" i="1"/>
  <c r="N72" i="1" s="1"/>
  <c r="U72" i="1"/>
  <c r="T72" i="1" s="1"/>
  <c r="W72" i="1"/>
  <c r="V72" i="1" s="1"/>
  <c r="M73" i="1"/>
  <c r="O73" i="1"/>
  <c r="N73" i="1" s="1"/>
  <c r="U73" i="1"/>
  <c r="T73" i="1" s="1"/>
  <c r="W73" i="1"/>
  <c r="V73" i="1" s="1"/>
  <c r="M74" i="1"/>
  <c r="O74" i="1"/>
  <c r="N74" i="1" s="1"/>
  <c r="U74" i="1"/>
  <c r="T74" i="1" s="1"/>
  <c r="W74" i="1"/>
  <c r="V74" i="1" s="1"/>
  <c r="M75" i="1"/>
  <c r="O75" i="1"/>
  <c r="N75" i="1" s="1"/>
  <c r="U75" i="1"/>
  <c r="T75" i="1" s="1"/>
  <c r="W75" i="1"/>
  <c r="V75" i="1" s="1"/>
  <c r="M76" i="1"/>
  <c r="O76" i="1"/>
  <c r="N76" i="1" s="1"/>
  <c r="U76" i="1"/>
  <c r="T76" i="1" s="1"/>
  <c r="W76" i="1"/>
  <c r="V76" i="1" s="1"/>
  <c r="M77" i="1"/>
  <c r="O77" i="1"/>
  <c r="N77" i="1" s="1"/>
  <c r="U77" i="1"/>
  <c r="T77" i="1" s="1"/>
  <c r="W77" i="1"/>
  <c r="V77" i="1" s="1"/>
  <c r="M78" i="1"/>
  <c r="O78" i="1"/>
  <c r="N78" i="1" s="1"/>
  <c r="U78" i="1"/>
  <c r="T78" i="1" s="1"/>
  <c r="W78" i="1"/>
  <c r="V78" i="1" s="1"/>
  <c r="M79" i="1"/>
  <c r="O79" i="1"/>
  <c r="N79" i="1" s="1"/>
  <c r="U79" i="1"/>
  <c r="T79" i="1" s="1"/>
  <c r="W79" i="1"/>
  <c r="V79" i="1" s="1"/>
  <c r="M80" i="1"/>
  <c r="O80" i="1"/>
  <c r="N80" i="1" s="1"/>
  <c r="U80" i="1"/>
  <c r="T80" i="1" s="1"/>
  <c r="W80" i="1"/>
  <c r="V80" i="1" s="1"/>
  <c r="M81" i="1"/>
  <c r="O81" i="1"/>
  <c r="N81" i="1" s="1"/>
  <c r="U81" i="1"/>
  <c r="T81" i="1" s="1"/>
  <c r="W81" i="1"/>
  <c r="V81" i="1" s="1"/>
  <c r="M82" i="1"/>
  <c r="O82" i="1"/>
  <c r="N82" i="1" s="1"/>
  <c r="U82" i="1"/>
  <c r="T82" i="1" s="1"/>
  <c r="W82" i="1"/>
  <c r="V82" i="1" s="1"/>
  <c r="Y37" i="1"/>
  <c r="X37" i="1" s="1"/>
  <c r="Y38" i="1"/>
  <c r="X38" i="1" s="1"/>
  <c r="Y39" i="1"/>
  <c r="X39" i="1" s="1"/>
  <c r="Y40" i="1"/>
  <c r="X40" i="1" s="1"/>
  <c r="Y41" i="1"/>
  <c r="X41" i="1" s="1"/>
  <c r="Y42" i="1"/>
  <c r="X42" i="1" s="1"/>
  <c r="Y43" i="1"/>
  <c r="X43" i="1" s="1"/>
  <c r="Y44" i="1"/>
  <c r="X44" i="1" s="1"/>
  <c r="Y45" i="1"/>
  <c r="X45" i="1" s="1"/>
  <c r="Y46" i="1"/>
  <c r="X46" i="1" s="1"/>
  <c r="Y47" i="1"/>
  <c r="X47" i="1" s="1"/>
  <c r="Y48" i="1"/>
  <c r="X48" i="1" s="1"/>
  <c r="Y49" i="1"/>
  <c r="X49" i="1" s="1"/>
  <c r="Y50" i="1"/>
  <c r="X50" i="1" s="1"/>
  <c r="Y51" i="1"/>
  <c r="X51" i="1" s="1"/>
  <c r="Y52" i="1"/>
  <c r="X52" i="1" s="1"/>
  <c r="Y53" i="1"/>
  <c r="X53" i="1" s="1"/>
  <c r="Y54" i="1"/>
  <c r="X54" i="1" s="1"/>
  <c r="Y55" i="1"/>
  <c r="X55" i="1" s="1"/>
  <c r="Y56" i="1"/>
  <c r="X56" i="1" s="1"/>
  <c r="Y57" i="1"/>
  <c r="X57" i="1" s="1"/>
  <c r="Y58" i="1"/>
  <c r="X58" i="1" s="1"/>
  <c r="Y59" i="1"/>
  <c r="X59" i="1" s="1"/>
  <c r="Y60" i="1"/>
  <c r="X60" i="1" s="1"/>
  <c r="Y61" i="1"/>
  <c r="X61" i="1" s="1"/>
  <c r="Y62" i="1"/>
  <c r="X62" i="1" s="1"/>
  <c r="Y63" i="1"/>
  <c r="X63" i="1" s="1"/>
  <c r="Y64" i="1"/>
  <c r="X64" i="1" s="1"/>
  <c r="Y65" i="1"/>
  <c r="X65" i="1" s="1"/>
  <c r="Y66" i="1"/>
  <c r="X66" i="1" s="1"/>
  <c r="Y67" i="1"/>
  <c r="X67" i="1" s="1"/>
  <c r="Y68" i="1"/>
  <c r="X68" i="1" s="1"/>
  <c r="Y69" i="1"/>
  <c r="X69" i="1" s="1"/>
  <c r="Y70" i="1"/>
  <c r="X70" i="1" s="1"/>
  <c r="Y72" i="1"/>
  <c r="X72" i="1" s="1"/>
  <c r="Y73" i="1"/>
  <c r="X73" i="1" s="1"/>
  <c r="Y74" i="1"/>
  <c r="X74" i="1" s="1"/>
  <c r="Y75" i="1"/>
  <c r="X75" i="1" s="1"/>
  <c r="Y76" i="1"/>
  <c r="X76" i="1" s="1"/>
  <c r="Y77" i="1"/>
  <c r="X77" i="1" s="1"/>
  <c r="Y78" i="1"/>
  <c r="X78" i="1" s="1"/>
  <c r="Y79" i="1"/>
  <c r="X79" i="1" s="1"/>
  <c r="Y80" i="1"/>
  <c r="X80" i="1" s="1"/>
  <c r="Y81" i="1"/>
  <c r="X81" i="1" s="1"/>
  <c r="Y82" i="1"/>
  <c r="X82" i="1" s="1"/>
  <c r="Y36" i="1"/>
  <c r="X36" i="1" s="1"/>
  <c r="I36" i="1"/>
  <c r="H36" i="1" s="1"/>
  <c r="I37" i="1"/>
  <c r="H37" i="1" s="1"/>
  <c r="I38" i="1"/>
  <c r="H38" i="1" s="1"/>
  <c r="I39" i="1"/>
  <c r="H39" i="1" s="1"/>
  <c r="I40" i="1"/>
  <c r="H40" i="1" s="1"/>
  <c r="I41" i="1"/>
  <c r="H41" i="1" s="1"/>
  <c r="I42" i="1"/>
  <c r="H42" i="1" s="1"/>
  <c r="I43" i="1"/>
  <c r="H43" i="1" s="1"/>
  <c r="I44" i="1"/>
  <c r="H44" i="1" s="1"/>
  <c r="I45" i="1"/>
  <c r="H45" i="1" s="1"/>
  <c r="I46" i="1"/>
  <c r="H46" i="1" s="1"/>
  <c r="I47" i="1"/>
  <c r="H47" i="1" s="1"/>
  <c r="I48" i="1"/>
  <c r="H48" i="1" s="1"/>
  <c r="I49" i="1"/>
  <c r="H49" i="1" s="1"/>
  <c r="I50" i="1"/>
  <c r="H50" i="1" s="1"/>
  <c r="I51" i="1"/>
  <c r="H51" i="1" s="1"/>
  <c r="I52" i="1"/>
  <c r="H52" i="1" s="1"/>
  <c r="I53" i="1"/>
  <c r="H53" i="1" s="1"/>
  <c r="I54" i="1"/>
  <c r="H54" i="1" s="1"/>
  <c r="I55" i="1"/>
  <c r="H55" i="1" s="1"/>
  <c r="I56" i="1"/>
  <c r="H56" i="1" s="1"/>
  <c r="I57" i="1"/>
  <c r="H57" i="1" s="1"/>
  <c r="I58" i="1"/>
  <c r="H58" i="1" s="1"/>
  <c r="I59" i="1"/>
  <c r="H59" i="1" s="1"/>
  <c r="I60" i="1"/>
  <c r="H60" i="1" s="1"/>
  <c r="I61" i="1"/>
  <c r="H61" i="1" s="1"/>
  <c r="I62" i="1"/>
  <c r="H62" i="1" s="1"/>
  <c r="I63" i="1"/>
  <c r="H63" i="1" s="1"/>
  <c r="I64" i="1"/>
  <c r="H64" i="1" s="1"/>
  <c r="I65" i="1"/>
  <c r="H65" i="1" s="1"/>
  <c r="I66" i="1"/>
  <c r="H66" i="1" s="1"/>
  <c r="I67" i="1"/>
  <c r="H67" i="1" s="1"/>
  <c r="I68" i="1"/>
  <c r="H68" i="1" s="1"/>
  <c r="I69" i="1"/>
  <c r="H69" i="1" s="1"/>
  <c r="I70" i="1"/>
  <c r="H70" i="1" s="1"/>
  <c r="I72" i="1"/>
  <c r="H72" i="1" s="1"/>
  <c r="I73" i="1"/>
  <c r="H73" i="1" s="1"/>
  <c r="I74" i="1"/>
  <c r="H74" i="1" s="1"/>
  <c r="I75" i="1"/>
  <c r="H75" i="1" s="1"/>
  <c r="I76" i="1"/>
  <c r="H76" i="1" s="1"/>
  <c r="I77" i="1"/>
  <c r="H77" i="1" s="1"/>
  <c r="I78" i="1"/>
  <c r="H78" i="1" s="1"/>
  <c r="I79" i="1"/>
  <c r="H79" i="1" s="1"/>
  <c r="I80" i="1"/>
  <c r="H80" i="1" s="1"/>
  <c r="I81" i="1"/>
  <c r="H81" i="1" s="1"/>
  <c r="I82" i="1"/>
  <c r="H82" i="1" s="1"/>
  <c r="G36" i="1"/>
  <c r="F36" i="1" s="1"/>
  <c r="G37" i="1"/>
  <c r="F37" i="1" s="1"/>
  <c r="G38" i="1"/>
  <c r="F38" i="1" s="1"/>
  <c r="G39" i="1"/>
  <c r="F39" i="1" s="1"/>
  <c r="G40" i="1"/>
  <c r="F40" i="1" s="1"/>
  <c r="G41" i="1"/>
  <c r="F41" i="1" s="1"/>
  <c r="G42" i="1"/>
  <c r="F42" i="1" s="1"/>
  <c r="G43" i="1"/>
  <c r="F43" i="1" s="1"/>
  <c r="G44" i="1"/>
  <c r="F44" i="1" s="1"/>
  <c r="G45" i="1"/>
  <c r="F45" i="1" s="1"/>
  <c r="G46" i="1"/>
  <c r="F46" i="1" s="1"/>
  <c r="G47" i="1"/>
  <c r="F47" i="1" s="1"/>
  <c r="G48" i="1"/>
  <c r="F48" i="1" s="1"/>
  <c r="G49" i="1"/>
  <c r="F49" i="1" s="1"/>
  <c r="G50" i="1"/>
  <c r="F50" i="1" s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AE30" i="1" l="1"/>
  <c r="AE29" i="1"/>
  <c r="AE28" i="1"/>
  <c r="AE27" i="1"/>
  <c r="AE26" i="1"/>
  <c r="AE25" i="1"/>
  <c r="AE32" i="1"/>
  <c r="AE24" i="1"/>
  <c r="AE20" i="1"/>
  <c r="AE11" i="1"/>
  <c r="AE12" i="1"/>
  <c r="AE13" i="1"/>
  <c r="AE14" i="1"/>
  <c r="AE15" i="1"/>
  <c r="AE16" i="1"/>
  <c r="AE18" i="1"/>
  <c r="AE10" i="1"/>
  <c r="O27" i="1"/>
  <c r="O26" i="1"/>
  <c r="O24" i="1"/>
  <c r="O23" i="1"/>
  <c r="M24" i="1"/>
  <c r="M23" i="1"/>
  <c r="G24" i="1"/>
  <c r="G23" i="1"/>
  <c r="AA11" i="1" l="1"/>
  <c r="AA12" i="1"/>
  <c r="AA13" i="1"/>
  <c r="AA14" i="1"/>
  <c r="AA15" i="1"/>
  <c r="AA16" i="1"/>
  <c r="AA18" i="1"/>
  <c r="AA19" i="1"/>
  <c r="AA20" i="1"/>
  <c r="AA23" i="1"/>
  <c r="AA24" i="1"/>
  <c r="AA25" i="1"/>
  <c r="AA26" i="1"/>
  <c r="AA27" i="1"/>
  <c r="AA28" i="1"/>
  <c r="AA29" i="1"/>
  <c r="AA30" i="1"/>
  <c r="AA32" i="1"/>
  <c r="AA10" i="1"/>
  <c r="I11" i="1"/>
  <c r="I12" i="1"/>
  <c r="I13" i="1"/>
  <c r="I14" i="1"/>
  <c r="I15" i="1"/>
  <c r="I16" i="1"/>
  <c r="I18" i="1"/>
  <c r="I19" i="1"/>
  <c r="I20" i="1"/>
  <c r="I23" i="1"/>
  <c r="I24" i="1"/>
  <c r="I25" i="1"/>
  <c r="I26" i="1"/>
  <c r="I27" i="1"/>
  <c r="I28" i="1"/>
  <c r="I29" i="1"/>
  <c r="I30" i="1"/>
  <c r="I10" i="1"/>
  <c r="AC11" i="1"/>
  <c r="AC12" i="1"/>
  <c r="AC13" i="1"/>
  <c r="AC14" i="1"/>
  <c r="AC15" i="1"/>
  <c r="AC16" i="1"/>
  <c r="AC23" i="1"/>
  <c r="AC24" i="1"/>
  <c r="AC25" i="1"/>
  <c r="AC26" i="1"/>
  <c r="AC27" i="1"/>
  <c r="AC28" i="1"/>
  <c r="AC29" i="1"/>
  <c r="AC30" i="1"/>
  <c r="AC32" i="1"/>
  <c r="AC10" i="1"/>
  <c r="S11" i="1"/>
  <c r="S12" i="1"/>
  <c r="S13" i="1"/>
  <c r="S14" i="1"/>
  <c r="S15" i="1"/>
  <c r="S16" i="1"/>
  <c r="S25" i="1"/>
  <c r="S26" i="1"/>
  <c r="S27" i="1"/>
  <c r="S28" i="1"/>
  <c r="S29" i="1"/>
  <c r="S30" i="1"/>
  <c r="S10" i="1"/>
  <c r="K11" i="1"/>
  <c r="K12" i="1"/>
  <c r="K13" i="1"/>
  <c r="K14" i="1"/>
  <c r="K15" i="1"/>
  <c r="K16" i="1"/>
  <c r="K25" i="1"/>
  <c r="K26" i="1"/>
  <c r="K27" i="1"/>
  <c r="K28" i="1"/>
  <c r="K29" i="1"/>
  <c r="K30" i="1"/>
  <c r="K32" i="1"/>
  <c r="K10" i="1"/>
  <c r="AC19" i="1" l="1"/>
  <c r="AB19" i="1" s="1"/>
  <c r="AC18" i="1"/>
  <c r="AB18" i="1" s="1"/>
  <c r="AC20" i="1"/>
  <c r="AB20" i="1" s="1"/>
  <c r="S20" i="1"/>
  <c r="R20" i="1" s="1"/>
  <c r="S18" i="1"/>
  <c r="R18" i="1" s="1"/>
  <c r="S19" i="1"/>
  <c r="R19" i="1" s="1"/>
  <c r="R17" i="1" s="1"/>
  <c r="S17" i="1" s="1"/>
  <c r="K20" i="1"/>
  <c r="J20" i="1" s="1"/>
  <c r="K19" i="1"/>
  <c r="J19" i="1" s="1"/>
  <c r="K17" i="1" s="1"/>
  <c r="K18" i="1"/>
  <c r="G11" i="1" l="1"/>
  <c r="G12" i="1"/>
  <c r="G13" i="1"/>
  <c r="G14" i="1"/>
  <c r="G15" i="1"/>
  <c r="G16" i="1"/>
  <c r="G18" i="1"/>
  <c r="G19" i="1"/>
  <c r="G20" i="1"/>
  <c r="G25" i="1"/>
  <c r="G26" i="1"/>
  <c r="G27" i="1"/>
  <c r="G28" i="1"/>
  <c r="G29" i="1"/>
  <c r="G30" i="1"/>
  <c r="G32" i="1"/>
  <c r="G1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2" i="1"/>
  <c r="W32" i="1" l="1"/>
  <c r="W30" i="1"/>
  <c r="W29" i="1"/>
  <c r="W28" i="1"/>
  <c r="W27" i="1"/>
  <c r="W26" i="1"/>
  <c r="W25" i="1"/>
  <c r="W20" i="1"/>
  <c r="W19" i="1"/>
  <c r="W18" i="1"/>
  <c r="W16" i="1"/>
  <c r="W15" i="1"/>
  <c r="W14" i="1"/>
  <c r="W13" i="1"/>
  <c r="W12" i="1"/>
  <c r="W11" i="1"/>
  <c r="W10" i="1"/>
  <c r="U11" i="1"/>
  <c r="U12" i="1"/>
  <c r="U13" i="1"/>
  <c r="U14" i="1"/>
  <c r="U15" i="1"/>
  <c r="U16" i="1"/>
  <c r="U18" i="1"/>
  <c r="U19" i="1"/>
  <c r="U20" i="1"/>
  <c r="U25" i="1"/>
  <c r="U26" i="1"/>
  <c r="U27" i="1"/>
  <c r="U28" i="1"/>
  <c r="U29" i="1"/>
  <c r="U30" i="1"/>
  <c r="U32" i="1"/>
  <c r="U10" i="1"/>
  <c r="AD36" i="1" l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2" i="1"/>
  <c r="AD73" i="1"/>
  <c r="AD74" i="1"/>
  <c r="AD75" i="1"/>
  <c r="AD76" i="1"/>
  <c r="AD77" i="1"/>
  <c r="AD78" i="1"/>
  <c r="AD79" i="1"/>
  <c r="AD80" i="1"/>
  <c r="AD81" i="1"/>
  <c r="AD82" i="1"/>
  <c r="AD11" i="1"/>
  <c r="AD12" i="1"/>
  <c r="AD13" i="1"/>
  <c r="AD14" i="1"/>
  <c r="AD15" i="1"/>
  <c r="AD16" i="1"/>
  <c r="AD18" i="1"/>
  <c r="AD20" i="1"/>
  <c r="AD21" i="1"/>
  <c r="AD22" i="1"/>
  <c r="AD23" i="1"/>
  <c r="AD24" i="1"/>
  <c r="AD32" i="1"/>
  <c r="AD10" i="1"/>
  <c r="L36" i="1" l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L77" i="1"/>
  <c r="L78" i="1"/>
  <c r="L79" i="1"/>
  <c r="L80" i="1"/>
  <c r="L81" i="1"/>
  <c r="L82" i="1"/>
  <c r="O20" i="1"/>
  <c r="O25" i="1"/>
  <c r="O11" i="1"/>
  <c r="O12" i="1"/>
  <c r="O13" i="1"/>
  <c r="O14" i="1"/>
  <c r="O15" i="1"/>
  <c r="O16" i="1"/>
  <c r="O18" i="1"/>
  <c r="O19" i="1"/>
  <c r="O28" i="1"/>
  <c r="O29" i="1"/>
  <c r="O30" i="1"/>
  <c r="O32" i="1"/>
  <c r="O10" i="1"/>
  <c r="M10" i="1"/>
  <c r="M11" i="1"/>
  <c r="M12" i="1"/>
  <c r="M13" i="1"/>
  <c r="M14" i="1"/>
  <c r="M15" i="1"/>
  <c r="M16" i="1"/>
  <c r="M18" i="1"/>
  <c r="M19" i="1"/>
  <c r="M20" i="1"/>
  <c r="M25" i="1"/>
  <c r="M26" i="1"/>
  <c r="M27" i="1"/>
  <c r="M28" i="1"/>
  <c r="M29" i="1"/>
  <c r="M30" i="1"/>
  <c r="M32" i="1"/>
  <c r="AD19" i="1" l="1"/>
  <c r="J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A2F70C7B-45FE-43A4-AE9F-53BE438745CC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<sst xmlns="http://schemas.openxmlformats.org/spreadsheetml/2006/main" count="467" uniqueCount="251">
  <si>
    <t>Code</t>
  </si>
  <si>
    <t>Terminology</t>
  </si>
  <si>
    <t>Average Duration Professional</t>
  </si>
  <si>
    <t>Consultations:</t>
  </si>
  <si>
    <t>Procedures:</t>
  </si>
  <si>
    <t>0109</t>
  </si>
  <si>
    <t>0129</t>
  </si>
  <si>
    <t>0130</t>
  </si>
  <si>
    <t>0132</t>
  </si>
  <si>
    <t>0133</t>
  </si>
  <si>
    <t>0145</t>
  </si>
  <si>
    <t>0146</t>
  </si>
  <si>
    <t>0147</t>
  </si>
  <si>
    <t>0199</t>
  </si>
  <si>
    <t>0190</t>
  </si>
  <si>
    <t>0191</t>
  </si>
  <si>
    <t>0192</t>
  </si>
  <si>
    <t>0151</t>
  </si>
  <si>
    <t>0173</t>
  </si>
  <si>
    <t>0174</t>
  </si>
  <si>
    <t>0152</t>
  </si>
  <si>
    <t>0149</t>
  </si>
  <si>
    <t>0107</t>
  </si>
  <si>
    <t>0175</t>
  </si>
  <si>
    <t>0113</t>
  </si>
  <si>
    <t>0148</t>
  </si>
  <si>
    <t>2615</t>
  </si>
  <si>
    <t>0202</t>
  </si>
  <si>
    <t>0307</t>
  </si>
  <si>
    <t>1136</t>
  </si>
  <si>
    <t>0300</t>
  </si>
  <si>
    <t>0255</t>
  </si>
  <si>
    <t>1186</t>
  </si>
  <si>
    <t>2614</t>
  </si>
  <si>
    <t>Newborn Attendance -Visit in Ward</t>
  </si>
  <si>
    <t>Hospital follow-up visit</t>
  </si>
  <si>
    <t>Drainage of subcutaneous abscess onychia, paronychia, pulp space or avulsion of nail</t>
  </si>
  <si>
    <t>Excision and repair by direct suture; excision nail fold or other minor procedures of similar magnitude</t>
  </si>
  <si>
    <t>Nebulisation (in rooms)</t>
  </si>
  <si>
    <t>Urine dipstick, per stick (irrespective of the number of tests on stick)</t>
  </si>
  <si>
    <t>Setting of sterile tray</t>
  </si>
  <si>
    <t>Each additional small procedure done at the same time</t>
  </si>
  <si>
    <t>Glucose strip-test with photometric reading</t>
  </si>
  <si>
    <t>0210</t>
  </si>
  <si>
    <t>0241</t>
  </si>
  <si>
    <t>0242</t>
  </si>
  <si>
    <t>0245</t>
  </si>
  <si>
    <t>0246</t>
  </si>
  <si>
    <t>0308</t>
  </si>
  <si>
    <t>0661</t>
  </si>
  <si>
    <t>Prolonged first/follow-up consultation : for each 15-minute period only if service extends 10 minutes or more into the next 15-minute period following on the first 60 minutes</t>
  </si>
  <si>
    <t>Units</t>
  </si>
  <si>
    <t>R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</si>
  <si>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</si>
  <si>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</si>
  <si>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</si>
  <si>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</si>
  <si>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DHGP 
RCF</t>
  </si>
  <si>
    <t>Legend:</t>
  </si>
  <si>
    <t>R = Rand</t>
  </si>
  <si>
    <t>RCF = Rand Conversion Factor (Rand Value per Unit)</t>
  </si>
  <si>
    <t>VAT = Value Added Tax</t>
  </si>
  <si>
    <t>Consulting Service, e.g. Repeat Script</t>
  </si>
  <si>
    <t>Writing of special motivations and treatment</t>
  </si>
  <si>
    <t>Elective after-hours services on request of patient or family (non-emergency). Add 50% of consultation fee</t>
  </si>
  <si>
    <t>After-hours bona fide emergency consultation. Add 25% of consultation fee. (21:00 to 06:00)</t>
  </si>
  <si>
    <t>Newborn Attendance - emergency at all hours</t>
  </si>
  <si>
    <t>Pre-anaesthetic assessment of patient:  between 10 and 20 minutes</t>
  </si>
  <si>
    <t>Pre-anaesthetic assessment of patient:  between 20 and 35 minutes</t>
  </si>
  <si>
    <t>Completion of Chronic Medication Forms on behalf of a 3rd party funder</t>
  </si>
  <si>
    <t>Routine obstetric ultrasound at 20 to 24 weeks to include detailed anatomical assessment</t>
  </si>
  <si>
    <t>DPA = Direct Payment Arrangement</t>
  </si>
  <si>
    <t>Prem = Premier</t>
  </si>
  <si>
    <t>0017</t>
  </si>
  <si>
    <t>Conults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</si>
  <si>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</si>
  <si>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</si>
  <si>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</si>
  <si>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</si>
  <si>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</si>
  <si>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</si>
  <si>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</si>
  <si>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</si>
  <si>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</si>
  <si>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</si>
  <si>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</si>
  <si>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</si>
  <si>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</si>
  <si>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</si>
  <si>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</si>
  <si>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</si>
  <si>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</si>
  <si>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</si>
  <si>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</si>
  <si>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</si>
  <si>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</si>
  <si>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</si>
  <si>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</si>
  <si>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</si>
  <si>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</si>
  <si>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</si>
  <si>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</si>
  <si>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</si>
  <si>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</si>
  <si>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</si>
  <si>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</si>
  <si>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</si>
  <si>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</si>
  <si>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HealthMan</t>
  </si>
  <si>
    <t>RCF</t>
  </si>
  <si>
    <t>BankMed</t>
  </si>
  <si>
    <t>POLMED</t>
  </si>
  <si>
    <t>BestMed</t>
  </si>
  <si>
    <t>Base 
Rate</t>
  </si>
  <si>
    <t xml:space="preserve"> DHGP Network</t>
  </si>
  <si>
    <t>Non-Contracted
RCF</t>
  </si>
  <si>
    <t>Contracted Base Rate</t>
  </si>
  <si>
    <t>Contracted
RCF</t>
  </si>
  <si>
    <t>GP Consults</t>
  </si>
  <si>
    <t>Discovery - GP Network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</si>
  <si>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</si>
  <si>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</si>
  <si>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</si>
  <si>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</si>
  <si>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</si>
  <si>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</si>
  <si>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</si>
  <si>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</si>
  <si>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</si>
  <si>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</si>
  <si>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</si>
  <si>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</si>
  <si>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</si>
  <si>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0193</t>
  </si>
  <si>
    <t>3615</t>
  </si>
  <si>
    <t>3617</t>
  </si>
  <si>
    <t>3618</t>
  </si>
  <si>
    <t>3627</t>
  </si>
  <si>
    <t>4050</t>
  </si>
  <si>
    <t>4188</t>
  </si>
  <si>
    <t>5100</t>
  </si>
  <si>
    <t>1232</t>
  </si>
  <si>
    <t>1234</t>
  </si>
  <si>
    <t>1235</t>
  </si>
  <si>
    <t>0126</t>
  </si>
  <si>
    <t xml:space="preserve">Unscheduled consultation (cons.room) </t>
  </si>
  <si>
    <t>Consultation : Away from doctor's room</t>
  </si>
  <si>
    <t xml:space="preserve">Emergency consultation (cons.room) </t>
  </si>
  <si>
    <t>Emergency consultation (not cons.room)</t>
  </si>
  <si>
    <t>Polmed Network</t>
  </si>
  <si>
    <t>Polmed Non Network</t>
  </si>
  <si>
    <t>Non Network Base 
Rate</t>
  </si>
  <si>
    <t>Network Base 
Rate</t>
  </si>
  <si>
    <r>
      <t xml:space="preserve">Telephone consultation (all hours) </t>
    </r>
    <r>
      <rPr>
        <i/>
        <sz val="10"/>
        <color rgb="FFFF0000"/>
        <rFont val="Calibri"/>
        <family val="2"/>
        <scheme val="minor"/>
      </rPr>
      <t>(Refer to rules and interpretation)</t>
    </r>
  </si>
  <si>
    <r>
      <t xml:space="preserve">First Hospital Consultation </t>
    </r>
    <r>
      <rPr>
        <i/>
        <sz val="10"/>
        <rFont val="Calibri"/>
        <family val="2"/>
        <scheme val="minor"/>
      </rPr>
      <t>(of an average duration and/or complexity)</t>
    </r>
  </si>
  <si>
    <r>
      <t xml:space="preserve">First Hospital Consultation </t>
    </r>
    <r>
      <rPr>
        <i/>
        <sz val="10"/>
        <rFont val="Calibri"/>
        <family val="2"/>
        <scheme val="minor"/>
      </rPr>
      <t>(of a moderately above average duration and/or complexity)</t>
    </r>
  </si>
  <si>
    <r>
      <t xml:space="preserve">First Hospital Consultation </t>
    </r>
    <r>
      <rPr>
        <i/>
        <sz val="10"/>
        <rFont val="Calibri"/>
        <family val="2"/>
        <scheme val="minor"/>
      </rPr>
      <t>(of long duration and/or high complexity)</t>
    </r>
  </si>
  <si>
    <r>
      <t xml:space="preserve">Consultation of new or established patient </t>
    </r>
    <r>
      <rPr>
        <i/>
        <sz val="10"/>
        <rFont val="Calibri"/>
        <family val="2"/>
        <scheme val="minor"/>
      </rPr>
      <t>(of an average duration and/or complexity)</t>
    </r>
  </si>
  <si>
    <r>
      <t xml:space="preserve">Consultation of new or established patient  </t>
    </r>
    <r>
      <rPr>
        <i/>
        <sz val="10"/>
        <rFont val="Calibri"/>
        <family val="2"/>
        <scheme val="minor"/>
      </rPr>
      <t>(of a moderately above average duration and/or complexity)</t>
    </r>
  </si>
  <si>
    <r>
      <t xml:space="preserve">Consultation of new or established patient  </t>
    </r>
    <r>
      <rPr>
        <i/>
        <sz val="10"/>
        <rFont val="Calibri"/>
        <family val="2"/>
        <scheme val="minor"/>
      </rPr>
      <t>(of long duration and/or high complexity)</t>
    </r>
  </si>
  <si>
    <r>
      <t xml:space="preserve">Consultation of new or established patient  </t>
    </r>
    <r>
      <rPr>
        <i/>
        <sz val="10"/>
        <color rgb="FF7030A0"/>
        <rFont val="Calibri"/>
        <family val="2"/>
        <scheme val="minor"/>
      </rPr>
      <t>(of long duration and/or high complexity)</t>
    </r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</si>
  <si>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</si>
  <si>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</si>
  <si>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</si>
  <si>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</si>
  <si>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</si>
  <si>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</si>
  <si>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</si>
  <si>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>8. All Tariffs are inlcusive of VAT (15%)</t>
  </si>
  <si>
    <t>9. All Fees marked in "Green" have not been published by the particular Scheme, the tariffs were calculated based on the relvant RCF, e.g. Consulting RCF (please refer to the Disclaimer)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</si>
  <si>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</si>
  <si>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</si>
  <si>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 xml:space="preserve">        HealthMan, PsychMg and SASOP will communicate to the members as soon as they are being accepted and published by funders.</t>
  </si>
  <si>
    <t>Please refer to the Notes and Discllaimer on the Digital version of this document before use</t>
  </si>
  <si>
    <t>CAMAF</t>
  </si>
  <si>
    <t>Base Rate</t>
  </si>
  <si>
    <t>Non-Contracted Base Rate</t>
  </si>
  <si>
    <t>Ethical
Tariff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</si>
  <si>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</si>
  <si>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</si>
  <si>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</si>
  <si>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</si>
  <si>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</si>
  <si>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 xml:space="preserve">    Please note that many of the descriptors are shortened versions.  For the full descriptors please refer to the most recent SAMA eMDCM.</t>
  </si>
  <si>
    <t xml:space="preserve">4. The HealthMan Rate increased by 6.5%(equal to our current assessment of medical inflation). </t>
  </si>
  <si>
    <t>5.3 The Network rate increased with 6% and 5.4% compared to the Non-Network that increased only 5%.    </t>
  </si>
  <si>
    <t xml:space="preserve">12. Please note the most recent SAMA eMDCM is available at www.samedical.org  </t>
  </si>
  <si>
    <t>HEALTHMAN SPECIALIST FAMILY PHYSICIANS COSTING GUIDE 2024</t>
  </si>
  <si>
    <t>TBC</t>
  </si>
  <si>
    <t>Collection of blood specimen(s) by medical practitioner for pathology examination, per venesection (not to be used by pathologists)</t>
  </si>
  <si>
    <t>0220</t>
  </si>
  <si>
    <t>Allergy: Skin-prick tests: Immediate hypersensitivity testing (Type I reaction): Per antigen: Inhalant and food allergens</t>
  </si>
  <si>
    <t>Treatment of benign skin lesion by chemo-cryotherapy: First Lesion</t>
  </si>
  <si>
    <t>Treatment of benign skin lesion by chemo-cryotherapy: Subsequent lesions (each)</t>
  </si>
  <si>
    <t>Removal of benign lesion by curretting under local or general anaesthesia followed by diathermy and curretting or electrocautery: First lesion</t>
  </si>
  <si>
    <t>Removal of benign lesion by curretting under local or general anaesthesia followed by diathermy and curretting or electrocautery: Subsequent lesions (each)</t>
  </si>
  <si>
    <t>0287</t>
  </si>
  <si>
    <t>Scanning of pigmented skin lesions: Equipment fee for Molemax or similar device</t>
  </si>
  <si>
    <t>Stitching of soft-tissue injuries: Stitching of wound (with or without local anaesthesia): Including normal aftercare</t>
  </si>
  <si>
    <t>0497</t>
  </si>
  <si>
    <t>Resection of bone or tumour with or without grafting (benign)</t>
  </si>
  <si>
    <t>Aspiration of joint or intra-articular injection (not including after-care) (modifier 0005 not applicable)</t>
  </si>
  <si>
    <t>0763</t>
  </si>
  <si>
    <t>Muscle and tendon repair: Tendon or ligament injection</t>
  </si>
  <si>
    <t>1101</t>
  </si>
  <si>
    <t>Tonsillectomy (dissection of the tonsils)</t>
  </si>
  <si>
    <t>Flow volume test: Inspiration/expiration</t>
  </si>
  <si>
    <t>1188</t>
  </si>
  <si>
    <t>Flow volume test: Inspiration/expiration/pre- and post bronchodilator (to be charged for only with first consultation - thereafter item 1186 applies)</t>
  </si>
  <si>
    <t>1192</t>
  </si>
  <si>
    <t>Peak expiratory flow only</t>
  </si>
  <si>
    <t>Electrocardiogram: Without effort</t>
  </si>
  <si>
    <t>1233</t>
  </si>
  <si>
    <t>Electrocardiogram: With and without effort</t>
  </si>
  <si>
    <t>Effort electrocardiogram with the aid of a special bicycle ergometer, monitoring apparatus and availability of associated apparatus</t>
  </si>
  <si>
    <t>Multi-stage treadmill test</t>
  </si>
  <si>
    <t>1587</t>
  </si>
  <si>
    <t>Upper gastro-intestinal endoscopy with hospital equipment  (including biopsy) (refer to modifier 0074 for use of own equipment)</t>
  </si>
  <si>
    <t>1653</t>
  </si>
  <si>
    <t>Total colonoscopy: With hospital equipment (including biopsy)</t>
  </si>
  <si>
    <t>2137</t>
  </si>
  <si>
    <t>Circumcision: Surgical excision other than by clamp or dorsal slit, any age</t>
  </si>
  <si>
    <t>2448</t>
  </si>
  <si>
    <t>Termination of pregnancy before 12 weeks</t>
  </si>
  <si>
    <t>2449</t>
  </si>
  <si>
    <t>Evacuation: Missed abortion: Before 12 weeks gestation</t>
  </si>
  <si>
    <t>2492</t>
  </si>
  <si>
    <t>Salpingectomy: Uni- or bilateral or sterilisation for accepted medical reasons</t>
  </si>
  <si>
    <t>Global obstetric care: All inclusive fee that includes all modes of vaginal delivery and obstetric care from the commencement of labour untilt (6 weeks visit)</t>
  </si>
  <si>
    <t xml:space="preserve">Global obstetric care: All inclusive fee for caesarean section and obstetric care from the commencement of labour until  (6 weeks visit). </t>
  </si>
  <si>
    <t>2802</t>
  </si>
  <si>
    <t>Procedures for pain relief: Peripheral nerve block</t>
  </si>
  <si>
    <t>Routine obstetric ultrasound at 10 to 20 weeks gestational age preferable at 10 to 14 weeks gestational age to include nuchal translucency assessment</t>
  </si>
  <si>
    <t>Pelvic organs ultrasound transabdominal probe (this is a gynaecological ultrasound examination and may not be used in pregnancy)</t>
  </si>
  <si>
    <t>3622</t>
  </si>
  <si>
    <t>Cardiac examination: 2 Dimensional</t>
  </si>
  <si>
    <t xml:space="preserve">Ultrasound examination includes whole abdomen and pelvic organs, where pelvic organs are clinically indicated </t>
  </si>
  <si>
    <t>3635</t>
  </si>
  <si>
    <t>+ Doppler</t>
  </si>
  <si>
    <t>Pelvic organs ultrasound: Transvaginal or trans rectal probe</t>
  </si>
  <si>
    <t>5106</t>
  </si>
  <si>
    <t xml:space="preserve">Obstetric ultrasound before 10 weeks gestational age for complicated pregnancy </t>
  </si>
  <si>
    <t>5442</t>
  </si>
  <si>
    <t>Shoulder, scapula, clavicle, humerus, elbow joint, upper 1/3 tibia, knee joint, patella, mandible and temporomandibular joint: Add two (2.00) anaesthetic units</t>
  </si>
  <si>
    <t>2.00</t>
  </si>
  <si>
    <t>5783</t>
  </si>
  <si>
    <t xml:space="preserve">Infusional pharmacotherapy: Fee for the treatment of non cancerous conditions with bolus or infusional pharmacotherapy per treatment day </t>
  </si>
  <si>
    <t>7000</t>
  </si>
  <si>
    <t>For HIV pre-test counselling with a patient or a group (item to be coded per person), for at least 15 minutes</t>
  </si>
  <si>
    <t>7010</t>
  </si>
  <si>
    <t>Testing, post-test counselling with a patient personally for at least 25 minutes. (Please note, this code includes a second test were applicable.)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</si>
</sst>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</numFmts>
  <fonts count="49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9.5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b/>
      <i/>
      <sz val="10"/>
      <color rgb="FF7030A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.5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2" borderId="0" xfId="0" applyFont="1" applyFill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 wrapText="1"/>
      <protection hidden="1"/>
    </xf>
    <xf numFmtId="0" fontId="6" fillId="5" borderId="1" xfId="0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left" wrapText="1"/>
      <protection hidden="1"/>
    </xf>
    <xf numFmtId="0" fontId="3" fillId="3" borderId="3" xfId="0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6" fillId="3" borderId="3" xfId="1" applyFont="1" applyFill="1" applyBorder="1" applyProtection="1">
      <protection hidden="1"/>
    </xf>
    <xf numFmtId="165" fontId="3" fillId="3" borderId="4" xfId="1" applyNumberFormat="1" applyFont="1" applyFill="1" applyBorder="1" applyProtection="1">
      <protection hidden="1"/>
    </xf>
    <xf numFmtId="49" fontId="6" fillId="2" borderId="12" xfId="0" applyNumberFormat="1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Alignment="1" applyProtection="1">
      <alignment horizontal="left" wrapText="1"/>
      <protection hidden="1"/>
    </xf>
    <xf numFmtId="0" fontId="3" fillId="2" borderId="22" xfId="0" applyFont="1" applyFill="1" applyBorder="1" applyProtection="1">
      <protection hidden="1"/>
    </xf>
    <xf numFmtId="164" fontId="3" fillId="2" borderId="22" xfId="1" applyFont="1" applyFill="1" applyBorder="1" applyProtection="1">
      <protection hidden="1"/>
    </xf>
    <xf numFmtId="165" fontId="3" fillId="2" borderId="22" xfId="1" applyNumberFormat="1" applyFont="1" applyFill="1" applyBorder="1" applyProtection="1">
      <protection hidden="1"/>
    </xf>
    <xf numFmtId="164" fontId="6" fillId="2" borderId="22" xfId="1" applyFont="1" applyFill="1" applyBorder="1" applyProtection="1">
      <protection hidden="1"/>
    </xf>
    <xf numFmtId="49" fontId="8" fillId="2" borderId="8" xfId="0" applyNumberFormat="1" applyFont="1" applyFill="1" applyBorder="1" applyAlignment="1" applyProtection="1">
      <alignment horizontal="center"/>
      <protection hidden="1"/>
    </xf>
    <xf numFmtId="0" fontId="9" fillId="2" borderId="7" xfId="0" applyFont="1" applyFill="1" applyBorder="1" applyAlignment="1" applyProtection="1">
      <alignment horizontal="left" wrapText="1"/>
      <protection hidden="1"/>
    </xf>
    <xf numFmtId="0" fontId="10" fillId="2" borderId="23" xfId="0" applyFont="1" applyFill="1" applyBorder="1" applyProtection="1">
      <protection hidden="1"/>
    </xf>
    <xf numFmtId="164" fontId="10" fillId="2" borderId="23" xfId="1" applyFont="1" applyFill="1" applyBorder="1" applyProtection="1">
      <protection hidden="1"/>
    </xf>
    <xf numFmtId="164" fontId="8" fillId="2" borderId="23" xfId="1" applyFont="1" applyFill="1" applyBorder="1" applyProtection="1">
      <protection hidden="1"/>
    </xf>
    <xf numFmtId="165" fontId="10" fillId="2" borderId="23" xfId="1" applyNumberFormat="1" applyFont="1" applyFill="1" applyBorder="1" applyProtection="1">
      <protection hidden="1"/>
    </xf>
    <xf numFmtId="165" fontId="6" fillId="2" borderId="23" xfId="1" applyNumberFormat="1" applyFont="1" applyFill="1" applyBorder="1" applyProtection="1">
      <protection hidden="1"/>
    </xf>
    <xf numFmtId="164" fontId="6" fillId="2" borderId="24" xfId="1" applyFont="1" applyFill="1" applyBorder="1" applyProtection="1">
      <protection hidden="1"/>
    </xf>
    <xf numFmtId="165" fontId="6" fillId="2" borderId="24" xfId="1" applyNumberFormat="1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165" fontId="6" fillId="2" borderId="22" xfId="1" applyNumberFormat="1" applyFont="1" applyFill="1" applyBorder="1" applyProtection="1">
      <protection hidden="1"/>
    </xf>
    <xf numFmtId="49" fontId="11" fillId="2" borderId="13" xfId="0" applyNumberFormat="1" applyFont="1" applyFill="1" applyBorder="1" applyProtection="1">
      <protection hidden="1"/>
    </xf>
    <xf numFmtId="0" fontId="11" fillId="2" borderId="14" xfId="0" applyFont="1" applyFill="1" applyBorder="1" applyAlignment="1" applyProtection="1">
      <alignment wrapText="1"/>
      <protection hidden="1"/>
    </xf>
    <xf numFmtId="0" fontId="11" fillId="2" borderId="25" xfId="0" applyFont="1" applyFill="1" applyBorder="1" applyProtection="1">
      <protection hidden="1"/>
    </xf>
    <xf numFmtId="164" fontId="11" fillId="2" borderId="25" xfId="1" applyFont="1" applyFill="1" applyBorder="1" applyProtection="1">
      <protection hidden="1"/>
    </xf>
    <xf numFmtId="165" fontId="11" fillId="2" borderId="25" xfId="1" applyNumberFormat="1" applyFont="1" applyFill="1" applyBorder="1" applyProtection="1">
      <protection hidden="1"/>
    </xf>
    <xf numFmtId="164" fontId="6" fillId="2" borderId="25" xfId="1" applyFont="1" applyFill="1" applyBorder="1" applyProtection="1">
      <protection hidden="1"/>
    </xf>
    <xf numFmtId="165" fontId="6" fillId="2" borderId="25" xfId="1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wrapText="1"/>
      <protection hidden="1"/>
    </xf>
    <xf numFmtId="0" fontId="3" fillId="2" borderId="17" xfId="1" applyNumberFormat="1" applyFont="1" applyFill="1" applyBorder="1" applyAlignment="1" applyProtection="1">
      <alignment wrapText="1"/>
      <protection hidden="1"/>
    </xf>
    <xf numFmtId="164" fontId="3" fillId="2" borderId="17" xfId="1" applyFont="1" applyFill="1" applyBorder="1" applyAlignment="1" applyProtection="1">
      <alignment wrapText="1"/>
      <protection hidden="1"/>
    </xf>
    <xf numFmtId="165" fontId="3" fillId="2" borderId="17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4" fillId="2" borderId="0" xfId="0" applyFont="1" applyFill="1" applyAlignment="1" applyProtection="1">
      <alignment wrapText="1"/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Alignment="1" applyProtection="1">
      <alignment wrapText="1"/>
      <protection hidden="1"/>
    </xf>
    <xf numFmtId="164" fontId="13" fillId="2" borderId="0" xfId="1" applyFont="1" applyFill="1" applyBorder="1" applyAlignment="1" applyProtection="1">
      <alignment wrapText="1"/>
      <protection hidden="1"/>
    </xf>
    <xf numFmtId="165" fontId="13" fillId="2" borderId="0" xfId="1" applyNumberFormat="1" applyFont="1" applyFill="1" applyBorder="1" applyAlignment="1" applyProtection="1">
      <alignment wrapText="1"/>
      <protection hidden="1"/>
    </xf>
    <xf numFmtId="165" fontId="13" fillId="2" borderId="10" xfId="1" applyNumberFormat="1" applyFont="1" applyFill="1" applyBorder="1" applyAlignment="1" applyProtection="1">
      <alignment wrapText="1"/>
      <protection hidden="1"/>
    </xf>
    <xf numFmtId="0" fontId="7" fillId="4" borderId="5" xfId="0" applyFont="1" applyFill="1" applyBorder="1" applyProtection="1">
      <protection hidden="1"/>
    </xf>
    <xf numFmtId="0" fontId="3" fillId="4" borderId="17" xfId="0" applyFont="1" applyFill="1" applyBorder="1" applyAlignment="1" applyProtection="1">
      <alignment wrapText="1"/>
      <protection hidden="1"/>
    </xf>
    <xf numFmtId="0" fontId="3" fillId="4" borderId="17" xfId="1" applyNumberFormat="1" applyFont="1" applyFill="1" applyBorder="1" applyAlignment="1" applyProtection="1">
      <alignment wrapText="1"/>
      <protection hidden="1"/>
    </xf>
    <xf numFmtId="164" fontId="3" fillId="4" borderId="17" xfId="1" applyFont="1" applyFill="1" applyBorder="1" applyAlignment="1" applyProtection="1">
      <alignment wrapText="1"/>
      <protection hidden="1"/>
    </xf>
    <xf numFmtId="165" fontId="3" fillId="4" borderId="17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14" fillId="4" borderId="9" xfId="0" applyFont="1" applyFill="1" applyBorder="1" applyProtection="1">
      <protection hidden="1"/>
    </xf>
    <xf numFmtId="0" fontId="14" fillId="4" borderId="0" xfId="0" applyFont="1" applyFill="1" applyAlignment="1" applyProtection="1">
      <alignment wrapText="1"/>
      <protection hidden="1"/>
    </xf>
    <xf numFmtId="0" fontId="14" fillId="4" borderId="10" xfId="0" applyFont="1" applyFill="1" applyBorder="1" applyAlignment="1" applyProtection="1">
      <alignment wrapText="1"/>
      <protection hidden="1"/>
    </xf>
    <xf numFmtId="0" fontId="3" fillId="4" borderId="19" xfId="0" applyFont="1" applyFill="1" applyBorder="1" applyProtection="1">
      <protection hidden="1"/>
    </xf>
    <xf numFmtId="0" fontId="3" fillId="4" borderId="18" xfId="0" applyFont="1" applyFill="1" applyBorder="1" applyAlignment="1" applyProtection="1">
      <alignment wrapText="1"/>
      <protection hidden="1"/>
    </xf>
    <xf numFmtId="0" fontId="3" fillId="4" borderId="18" xfId="1" applyNumberFormat="1" applyFont="1" applyFill="1" applyBorder="1" applyAlignment="1" applyProtection="1">
      <alignment wrapText="1"/>
      <protection hidden="1"/>
    </xf>
    <xf numFmtId="164" fontId="3" fillId="4" borderId="18" xfId="1" applyFont="1" applyFill="1" applyBorder="1" applyAlignment="1" applyProtection="1">
      <alignment wrapText="1"/>
      <protection hidden="1"/>
    </xf>
    <xf numFmtId="165" fontId="3" fillId="4" borderId="18" xfId="1" applyNumberFormat="1" applyFont="1" applyFill="1" applyBorder="1" applyAlignment="1" applyProtection="1">
      <alignment wrapText="1"/>
      <protection hidden="1"/>
    </xf>
    <xf numFmtId="165" fontId="3" fillId="4" borderId="20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Protection="1">
      <protection hidden="1"/>
    </xf>
    <xf numFmtId="0" fontId="15" fillId="3" borderId="2" xfId="0" applyFont="1" applyFill="1" applyBorder="1" applyProtection="1">
      <protection hidden="1"/>
    </xf>
    <xf numFmtId="0" fontId="15" fillId="3" borderId="3" xfId="0" applyFont="1" applyFill="1" applyBorder="1" applyProtection="1">
      <protection hidden="1"/>
    </xf>
    <xf numFmtId="165" fontId="6" fillId="0" borderId="23" xfId="1" applyNumberFormat="1" applyFont="1" applyFill="1" applyBorder="1" applyProtection="1">
      <protection hidden="1"/>
    </xf>
    <xf numFmtId="164" fontId="7" fillId="4" borderId="1" xfId="1" applyFont="1" applyFill="1" applyBorder="1" applyAlignment="1" applyProtection="1">
      <alignment horizontal="center" wrapText="1"/>
      <protection hidden="1"/>
    </xf>
    <xf numFmtId="164" fontId="14" fillId="4" borderId="0" xfId="1" applyFont="1" applyFill="1" applyBorder="1" applyAlignment="1" applyProtection="1">
      <alignment wrapText="1"/>
      <protection hidden="1"/>
    </xf>
    <xf numFmtId="0" fontId="2" fillId="3" borderId="2" xfId="0" applyFont="1" applyFill="1" applyBorder="1" applyProtection="1">
      <protection locked="0" hidden="1"/>
    </xf>
    <xf numFmtId="0" fontId="2" fillId="3" borderId="3" xfId="0" applyFont="1" applyFill="1" applyBorder="1" applyProtection="1">
      <protection locked="0" hidden="1"/>
    </xf>
    <xf numFmtId="0" fontId="2" fillId="3" borderId="4" xfId="0" applyFont="1" applyFill="1" applyBorder="1" applyProtection="1">
      <protection locked="0" hidden="1"/>
    </xf>
    <xf numFmtId="164" fontId="6" fillId="2" borderId="23" xfId="1" applyFont="1" applyFill="1" applyBorder="1" applyProtection="1">
      <protection hidden="1"/>
    </xf>
    <xf numFmtId="164" fontId="2" fillId="3" borderId="3" xfId="1" applyFont="1" applyFill="1" applyBorder="1" applyAlignment="1" applyProtection="1">
      <protection locked="0" hidden="1"/>
    </xf>
    <xf numFmtId="0" fontId="14" fillId="2" borderId="0" xfId="0" applyFont="1" applyFill="1" applyProtection="1">
      <protection hidden="1"/>
    </xf>
    <xf numFmtId="0" fontId="14" fillId="2" borderId="0" xfId="0" applyFont="1" applyFill="1" applyAlignment="1" applyProtection="1">
      <alignment horizontal="left" wrapText="1"/>
      <protection hidden="1"/>
    </xf>
    <xf numFmtId="0" fontId="14" fillId="2" borderId="9" xfId="0" applyFont="1" applyFill="1" applyBorder="1" applyAlignment="1" applyProtection="1">
      <alignment horizontal="left"/>
      <protection hidden="1"/>
    </xf>
    <xf numFmtId="0" fontId="3" fillId="2" borderId="19" xfId="0" applyFont="1" applyFill="1" applyBorder="1" applyProtection="1">
      <protection hidden="1"/>
    </xf>
    <xf numFmtId="0" fontId="4" fillId="2" borderId="18" xfId="0" applyFont="1" applyFill="1" applyBorder="1" applyAlignment="1" applyProtection="1">
      <alignment wrapText="1"/>
      <protection hidden="1"/>
    </xf>
    <xf numFmtId="164" fontId="4" fillId="2" borderId="18" xfId="1" applyFont="1" applyFill="1" applyBorder="1" applyProtection="1">
      <protection hidden="1"/>
    </xf>
    <xf numFmtId="164" fontId="3" fillId="2" borderId="18" xfId="1" applyFont="1" applyFill="1" applyBorder="1" applyProtection="1">
      <protection hidden="1"/>
    </xf>
    <xf numFmtId="165" fontId="3" fillId="2" borderId="18" xfId="1" applyNumberFormat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0" fontId="17" fillId="6" borderId="1" xfId="0" applyFont="1" applyFill="1" applyBorder="1" applyProtection="1">
      <protection hidden="1"/>
    </xf>
    <xf numFmtId="0" fontId="17" fillId="6" borderId="1" xfId="0" applyFont="1" applyFill="1" applyBorder="1" applyAlignment="1" applyProtection="1">
      <alignment horizontal="center"/>
      <protection hidden="1"/>
    </xf>
    <xf numFmtId="165" fontId="19" fillId="6" borderId="1" xfId="1" applyNumberFormat="1" applyFont="1" applyFill="1" applyBorder="1" applyAlignment="1" applyProtection="1">
      <alignment horizontal="center"/>
      <protection hidden="1"/>
    </xf>
    <xf numFmtId="165" fontId="19" fillId="6" borderId="1" xfId="1" applyNumberFormat="1" applyFont="1" applyFill="1" applyBorder="1" applyProtection="1">
      <protection hidden="1"/>
    </xf>
    <xf numFmtId="165" fontId="19" fillId="6" borderId="1" xfId="1" applyNumberFormat="1" applyFont="1" applyFill="1" applyBorder="1" applyAlignment="1" applyProtection="1">
      <alignment horizontal="center" wrapText="1"/>
      <protection hidden="1"/>
    </xf>
    <xf numFmtId="165" fontId="19" fillId="0" borderId="1" xfId="1" applyNumberFormat="1" applyFont="1" applyFill="1" applyBorder="1" applyAlignment="1" applyProtection="1">
      <alignment horizontal="center"/>
      <protection hidden="1"/>
    </xf>
    <xf numFmtId="165" fontId="19" fillId="0" borderId="1" xfId="1" applyNumberFormat="1" applyFont="1" applyFill="1" applyBorder="1" applyProtection="1">
      <protection hidden="1"/>
    </xf>
    <xf numFmtId="165" fontId="19" fillId="0" borderId="1" xfId="1" applyNumberFormat="1" applyFont="1" applyFill="1" applyBorder="1" applyAlignment="1" applyProtection="1">
      <alignment horizontal="center" wrapText="1"/>
      <protection hidden="1"/>
    </xf>
    <xf numFmtId="0" fontId="17" fillId="6" borderId="1" xfId="0" applyFont="1" applyFill="1" applyBorder="1" applyAlignment="1" applyProtection="1">
      <alignment wrapText="1"/>
      <protection hidden="1"/>
    </xf>
    <xf numFmtId="0" fontId="19" fillId="6" borderId="1" xfId="0" applyFont="1" applyFill="1" applyBorder="1" applyAlignment="1" applyProtection="1">
      <alignment horizontal="center"/>
      <protection hidden="1"/>
    </xf>
    <xf numFmtId="165" fontId="20" fillId="6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Protection="1">
      <protection hidden="1"/>
    </xf>
    <xf numFmtId="0" fontId="17" fillId="7" borderId="1" xfId="0" applyFont="1" applyFill="1" applyBorder="1" applyProtection="1">
      <protection hidden="1"/>
    </xf>
    <xf numFmtId="0" fontId="17" fillId="7" borderId="1" xfId="0" applyFont="1" applyFill="1" applyBorder="1" applyAlignment="1" applyProtection="1">
      <alignment horizontal="center"/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0" fontId="17" fillId="7" borderId="0" xfId="0" applyFont="1" applyFill="1" applyProtection="1">
      <protection hidden="1"/>
    </xf>
    <xf numFmtId="0" fontId="17" fillId="7" borderId="0" xfId="0" applyFont="1" applyFill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center"/>
      <protection hidden="1"/>
    </xf>
    <xf numFmtId="165" fontId="19" fillId="7" borderId="0" xfId="1" applyNumberFormat="1" applyFont="1" applyFill="1" applyAlignment="1" applyProtection="1">
      <alignment horizontal="center"/>
      <protection hidden="1"/>
    </xf>
    <xf numFmtId="165" fontId="19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19" fillId="0" borderId="0" xfId="0" applyFont="1" applyProtection="1">
      <protection hidden="1"/>
    </xf>
    <xf numFmtId="0" fontId="17" fillId="0" borderId="1" xfId="0" applyFont="1" applyBorder="1" applyProtection="1"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wrapText="1"/>
      <protection hidden="1"/>
    </xf>
    <xf numFmtId="165" fontId="20" fillId="6" borderId="1" xfId="1" applyNumberFormat="1" applyFont="1" applyFill="1" applyBorder="1" applyAlignment="1" applyProtection="1">
      <alignment wrapText="1"/>
      <protection hidden="1"/>
    </xf>
    <xf numFmtId="0" fontId="19" fillId="0" borderId="1" xfId="0" applyFont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19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wrapText="1"/>
      <protection hidden="1"/>
    </xf>
    <xf numFmtId="165" fontId="19" fillId="7" borderId="0" xfId="1" applyNumberFormat="1" applyFont="1" applyFill="1" applyProtection="1">
      <protection hidden="1"/>
    </xf>
    <xf numFmtId="165" fontId="19" fillId="7" borderId="0" xfId="1" applyNumberFormat="1" applyFont="1" applyFill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165" fontId="19" fillId="0" borderId="0" xfId="1" applyNumberFormat="1" applyFont="1" applyFill="1" applyProtection="1">
      <protection hidden="1"/>
    </xf>
    <xf numFmtId="165" fontId="19" fillId="0" borderId="0" xfId="1" applyNumberFormat="1" applyFont="1" applyFill="1" applyAlignment="1" applyProtection="1">
      <alignment horizontal="center" wrapText="1"/>
      <protection hidden="1"/>
    </xf>
    <xf numFmtId="164" fontId="24" fillId="2" borderId="23" xfId="1" applyFont="1" applyFill="1" applyBorder="1" applyProtection="1">
      <protection hidden="1"/>
    </xf>
    <xf numFmtId="165" fontId="24" fillId="0" borderId="23" xfId="1" applyNumberFormat="1" applyFont="1" applyFill="1" applyBorder="1" applyProtection="1">
      <protection hidden="1"/>
    </xf>
    <xf numFmtId="0" fontId="25" fillId="2" borderId="0" xfId="0" applyFont="1" applyFill="1" applyProtection="1">
      <protection hidden="1"/>
    </xf>
    <xf numFmtId="49" fontId="24" fillId="2" borderId="8" xfId="0" applyNumberFormat="1" applyFont="1" applyFill="1" applyBorder="1" applyProtection="1">
      <protection hidden="1"/>
    </xf>
    <xf numFmtId="0" fontId="24" fillId="2" borderId="11" xfId="0" applyFont="1" applyFill="1" applyBorder="1" applyAlignment="1" applyProtection="1">
      <alignment horizontal="left" wrapText="1"/>
      <protection hidden="1"/>
    </xf>
    <xf numFmtId="0" fontId="24" fillId="2" borderId="23" xfId="1" applyNumberFormat="1" applyFont="1" applyFill="1" applyBorder="1" applyProtection="1">
      <protection hidden="1"/>
    </xf>
    <xf numFmtId="49" fontId="26" fillId="2" borderId="8" xfId="0" applyNumberFormat="1" applyFont="1" applyFill="1" applyBorder="1" applyProtection="1">
      <protection hidden="1"/>
    </xf>
    <xf numFmtId="0" fontId="6" fillId="2" borderId="11" xfId="0" applyFont="1" applyFill="1" applyBorder="1" applyAlignment="1" applyProtection="1">
      <alignment horizontal="left" wrapText="1"/>
      <protection hidden="1"/>
    </xf>
    <xf numFmtId="0" fontId="6" fillId="2" borderId="23" xfId="1" applyNumberFormat="1" applyFont="1" applyFill="1" applyBorder="1" applyProtection="1">
      <protection hidden="1"/>
    </xf>
    <xf numFmtId="166" fontId="19" fillId="0" borderId="1" xfId="1" applyNumberFormat="1" applyFont="1" applyBorder="1" applyAlignment="1" applyProtection="1">
      <alignment horizontal="center"/>
      <protection hidden="1"/>
    </xf>
    <xf numFmtId="49" fontId="6" fillId="2" borderId="8" xfId="0" applyNumberFormat="1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23" xfId="0" applyFont="1" applyFill="1" applyBorder="1" applyAlignment="1" applyProtection="1">
      <alignment wrapText="1"/>
      <protection hidden="1"/>
    </xf>
    <xf numFmtId="164" fontId="6" fillId="0" borderId="23" xfId="1" applyFont="1" applyFill="1" applyBorder="1" applyProtection="1">
      <protection hidden="1"/>
    </xf>
    <xf numFmtId="164" fontId="27" fillId="2" borderId="23" xfId="1" applyFont="1" applyFill="1" applyBorder="1" applyProtection="1">
      <protection hidden="1"/>
    </xf>
    <xf numFmtId="164" fontId="24" fillId="0" borderId="23" xfId="1" applyFont="1" applyFill="1" applyBorder="1" applyProtection="1">
      <protection hidden="1"/>
    </xf>
    <xf numFmtId="165" fontId="24" fillId="2" borderId="23" xfId="1" applyNumberFormat="1" applyFont="1" applyFill="1" applyBorder="1" applyProtection="1">
      <protection hidden="1"/>
    </xf>
    <xf numFmtId="165" fontId="27" fillId="0" borderId="23" xfId="1" applyNumberFormat="1" applyFont="1" applyFill="1" applyBorder="1" applyProtection="1">
      <protection hidden="1"/>
    </xf>
    <xf numFmtId="165" fontId="27" fillId="2" borderId="23" xfId="1" applyNumberFormat="1" applyFont="1" applyFill="1" applyBorder="1" applyProtection="1">
      <protection hidden="1"/>
    </xf>
    <xf numFmtId="49" fontId="24" fillId="2" borderId="8" xfId="0" applyNumberFormat="1" applyFont="1" applyFill="1" applyBorder="1" applyAlignment="1" applyProtection="1">
      <alignment wrapText="1"/>
      <protection hidden="1"/>
    </xf>
    <xf numFmtId="0" fontId="24" fillId="2" borderId="11" xfId="0" applyFont="1" applyFill="1" applyBorder="1" applyAlignment="1" applyProtection="1">
      <alignment wrapText="1"/>
      <protection hidden="1"/>
    </xf>
    <xf numFmtId="0" fontId="24" fillId="2" borderId="23" xfId="0" applyFont="1" applyFill="1" applyBorder="1" applyAlignment="1" applyProtection="1">
      <alignment wrapText="1"/>
      <protection hidden="1"/>
    </xf>
    <xf numFmtId="0" fontId="26" fillId="2" borderId="11" xfId="0" applyFont="1" applyFill="1" applyBorder="1" applyAlignment="1" applyProtection="1">
      <alignment wrapText="1"/>
      <protection hidden="1"/>
    </xf>
    <xf numFmtId="164" fontId="6" fillId="5" borderId="23" xfId="1" applyFont="1" applyFill="1" applyBorder="1" applyProtection="1">
      <protection hidden="1"/>
    </xf>
    <xf numFmtId="49" fontId="6" fillId="2" borderId="13" xfId="0" applyNumberFormat="1" applyFont="1" applyFill="1" applyBorder="1" applyProtection="1">
      <protection hidden="1"/>
    </xf>
    <xf numFmtId="0" fontId="30" fillId="2" borderId="14" xfId="0" applyFont="1" applyFill="1" applyBorder="1" applyAlignment="1" applyProtection="1">
      <alignment wrapText="1"/>
      <protection hidden="1"/>
    </xf>
    <xf numFmtId="0" fontId="6" fillId="2" borderId="24" xfId="0" applyFont="1" applyFill="1" applyBorder="1" applyProtection="1">
      <protection hidden="1"/>
    </xf>
    <xf numFmtId="164" fontId="8" fillId="2" borderId="24" xfId="1" applyFont="1" applyFill="1" applyBorder="1" applyProtection="1">
      <protection hidden="1"/>
    </xf>
    <xf numFmtId="165" fontId="8" fillId="2" borderId="24" xfId="1" applyNumberFormat="1" applyFont="1" applyFill="1" applyBorder="1" applyProtection="1">
      <protection hidden="1"/>
    </xf>
    <xf numFmtId="164" fontId="6" fillId="2" borderId="24" xfId="1" applyFont="1" applyFill="1" applyBorder="1" applyAlignment="1" applyProtection="1">
      <alignment horizontal="center"/>
      <protection hidden="1"/>
    </xf>
    <xf numFmtId="49" fontId="31" fillId="3" borderId="2" xfId="0" applyNumberFormat="1" applyFont="1" applyFill="1" applyBorder="1" applyAlignment="1" applyProtection="1">
      <alignment wrapText="1"/>
      <protection hidden="1"/>
    </xf>
    <xf numFmtId="0" fontId="5" fillId="3" borderId="3" xfId="0" applyFont="1" applyFill="1" applyBorder="1" applyAlignment="1" applyProtection="1">
      <alignment wrapText="1"/>
      <protection hidden="1"/>
    </xf>
    <xf numFmtId="0" fontId="6" fillId="3" borderId="3" xfId="0" applyFont="1" applyFill="1" applyBorder="1" applyAlignment="1" applyProtection="1">
      <alignment wrapText="1"/>
      <protection hidden="1"/>
    </xf>
    <xf numFmtId="164" fontId="8" fillId="3" borderId="3" xfId="1" applyFont="1" applyFill="1" applyBorder="1" applyAlignment="1" applyProtection="1">
      <alignment wrapText="1"/>
      <protection hidden="1"/>
    </xf>
    <xf numFmtId="165" fontId="6" fillId="3" borderId="3" xfId="1" applyNumberFormat="1" applyFont="1" applyFill="1" applyBorder="1" applyProtection="1">
      <protection hidden="1"/>
    </xf>
    <xf numFmtId="164" fontId="8" fillId="3" borderId="3" xfId="1" applyFont="1" applyFill="1" applyBorder="1" applyProtection="1">
      <protection hidden="1"/>
    </xf>
    <xf numFmtId="165" fontId="8" fillId="3" borderId="3" xfId="1" applyNumberFormat="1" applyFont="1" applyFill="1" applyBorder="1" applyProtection="1">
      <protection hidden="1"/>
    </xf>
    <xf numFmtId="164" fontId="8" fillId="3" borderId="3" xfId="1" applyFont="1" applyFill="1" applyBorder="1" applyAlignment="1" applyProtection="1">
      <alignment horizontal="center"/>
      <protection hidden="1"/>
    </xf>
    <xf numFmtId="165" fontId="8" fillId="3" borderId="4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49" fontId="31" fillId="2" borderId="15" xfId="0" applyNumberFormat="1" applyFont="1" applyFill="1" applyBorder="1" applyAlignment="1" applyProtection="1">
      <alignment wrapText="1"/>
      <protection hidden="1"/>
    </xf>
    <xf numFmtId="0" fontId="32" fillId="2" borderId="16" xfId="0" applyFont="1" applyFill="1" applyBorder="1" applyAlignment="1" applyProtection="1">
      <alignment wrapText="1"/>
      <protection hidden="1"/>
    </xf>
    <xf numFmtId="0" fontId="6" fillId="2" borderId="22" xfId="0" applyFont="1" applyFill="1" applyBorder="1" applyAlignment="1" applyProtection="1">
      <alignment wrapText="1"/>
      <protection hidden="1"/>
    </xf>
    <xf numFmtId="164" fontId="8" fillId="2" borderId="22" xfId="1" applyFont="1" applyFill="1" applyBorder="1" applyAlignment="1" applyProtection="1">
      <alignment wrapText="1"/>
      <protection hidden="1"/>
    </xf>
    <xf numFmtId="164" fontId="8" fillId="2" borderId="22" xfId="1" applyFont="1" applyFill="1" applyBorder="1" applyAlignment="1" applyProtection="1">
      <alignment horizontal="center"/>
      <protection hidden="1"/>
    </xf>
    <xf numFmtId="165" fontId="8" fillId="2" borderId="22" xfId="1" applyNumberFormat="1" applyFont="1" applyFill="1" applyBorder="1" applyProtection="1">
      <protection hidden="1"/>
    </xf>
    <xf numFmtId="49" fontId="34" fillId="2" borderId="8" xfId="0" applyNumberFormat="1" applyFont="1" applyFill="1" applyBorder="1" applyAlignment="1" applyProtection="1">
      <alignment wrapText="1"/>
      <protection hidden="1"/>
    </xf>
    <xf numFmtId="0" fontId="12" fillId="2" borderId="5" xfId="0" applyFont="1" applyFill="1" applyBorder="1" applyProtection="1">
      <protection hidden="1"/>
    </xf>
    <xf numFmtId="0" fontId="33" fillId="2" borderId="9" xfId="0" applyFont="1" applyFill="1" applyBorder="1" applyProtection="1">
      <protection hidden="1"/>
    </xf>
    <xf numFmtId="0" fontId="35" fillId="0" borderId="0" xfId="0" applyFont="1"/>
    <xf numFmtId="0" fontId="14" fillId="2" borderId="9" xfId="0" applyFont="1" applyFill="1" applyBorder="1" applyProtection="1">
      <protection hidden="1"/>
    </xf>
    <xf numFmtId="0" fontId="36" fillId="2" borderId="0" xfId="0" applyFont="1" applyFill="1"/>
    <xf numFmtId="0" fontId="35" fillId="2" borderId="0" xfId="0" applyFont="1" applyFill="1" applyAlignment="1">
      <alignment vertical="center"/>
    </xf>
    <xf numFmtId="0" fontId="36" fillId="0" borderId="0" xfId="0" applyFont="1"/>
    <xf numFmtId="0" fontId="37" fillId="2" borderId="9" xfId="0" applyFont="1" applyFill="1" applyBorder="1" applyProtection="1">
      <protection hidden="1"/>
    </xf>
    <xf numFmtId="0" fontId="38" fillId="0" borderId="0" xfId="0" applyFont="1"/>
    <xf numFmtId="0" fontId="16" fillId="2" borderId="9" xfId="0" applyFont="1" applyFill="1" applyBorder="1" applyProtection="1">
      <protection hidden="1"/>
    </xf>
    <xf numFmtId="0" fontId="18" fillId="2" borderId="9" xfId="0" applyFont="1" applyFill="1" applyBorder="1" applyProtection="1">
      <protection hidden="1"/>
    </xf>
    <xf numFmtId="0" fontId="39" fillId="2" borderId="9" xfId="0" applyFont="1" applyFill="1" applyBorder="1" applyProtection="1">
      <protection hidden="1"/>
    </xf>
    <xf numFmtId="0" fontId="40" fillId="2" borderId="9" xfId="0" applyFont="1" applyFill="1" applyBorder="1" applyProtection="1">
      <protection hidden="1"/>
    </xf>
    <xf numFmtId="0" fontId="36" fillId="0" borderId="0" xfId="0" applyFont="1" applyAlignment="1">
      <alignment vertical="center"/>
    </xf>
    <xf numFmtId="0" fontId="41" fillId="2" borderId="9" xfId="0" applyFont="1" applyFill="1" applyBorder="1" applyProtection="1">
      <protection hidden="1"/>
    </xf>
    <xf numFmtId="0" fontId="42" fillId="2" borderId="9" xfId="0" applyFont="1" applyFill="1" applyBorder="1" applyProtection="1">
      <protection hidden="1"/>
    </xf>
    <xf numFmtId="0" fontId="43" fillId="9" borderId="0" xfId="0" applyFont="1" applyFill="1" applyAlignment="1" applyProtection="1">
      <alignment wrapText="1"/>
      <protection hidden="1"/>
    </xf>
    <xf numFmtId="0" fontId="43" fillId="9" borderId="0" xfId="0" applyFont="1" applyFill="1" applyProtection="1">
      <protection hidden="1"/>
    </xf>
    <xf numFmtId="164" fontId="43" fillId="9" borderId="0" xfId="1" applyFont="1" applyFill="1" applyBorder="1" applyProtection="1">
      <protection hidden="1"/>
    </xf>
    <xf numFmtId="165" fontId="43" fillId="9" borderId="0" xfId="1" applyNumberFormat="1" applyFont="1" applyFill="1" applyBorder="1" applyProtection="1">
      <protection hidden="1"/>
    </xf>
    <xf numFmtId="164" fontId="44" fillId="9" borderId="0" xfId="1" applyFont="1" applyFill="1" applyBorder="1" applyProtection="1">
      <protection hidden="1"/>
    </xf>
    <xf numFmtId="165" fontId="44" fillId="9" borderId="10" xfId="1" applyNumberFormat="1" applyFont="1" applyFill="1" applyBorder="1" applyProtection="1">
      <protection hidden="1"/>
    </xf>
    <xf numFmtId="49" fontId="44" fillId="9" borderId="9" xfId="0" applyNumberFormat="1" applyFont="1" applyFill="1" applyBorder="1" applyProtection="1">
      <protection hidden="1"/>
    </xf>
    <xf numFmtId="166" fontId="19" fillId="6" borderId="1" xfId="1" applyNumberFormat="1" applyFont="1" applyFill="1" applyBorder="1" applyAlignment="1" applyProtection="1">
      <alignment horizontal="center"/>
      <protection hidden="1"/>
    </xf>
    <xf numFmtId="166" fontId="19" fillId="0" borderId="1" xfId="1" applyNumberFormat="1" applyFont="1" applyFill="1" applyBorder="1" applyAlignment="1" applyProtection="1">
      <alignment horizontal="center"/>
      <protection hidden="1"/>
    </xf>
    <xf numFmtId="0" fontId="45" fillId="8" borderId="5" xfId="0" applyFont="1" applyFill="1" applyBorder="1" applyProtection="1">
      <protection hidden="1"/>
    </xf>
    <xf numFmtId="0" fontId="46" fillId="8" borderId="17" xfId="0" applyFont="1" applyFill="1" applyBorder="1" applyAlignment="1" applyProtection="1">
      <alignment wrapText="1"/>
      <protection hidden="1"/>
    </xf>
    <xf numFmtId="0" fontId="46" fillId="8" borderId="17" xfId="1" applyNumberFormat="1" applyFont="1" applyFill="1" applyBorder="1" applyAlignment="1" applyProtection="1">
      <alignment wrapText="1"/>
      <protection hidden="1"/>
    </xf>
    <xf numFmtId="164" fontId="46" fillId="8" borderId="17" xfId="1" applyFont="1" applyFill="1" applyBorder="1" applyAlignment="1" applyProtection="1">
      <alignment wrapText="1"/>
      <protection hidden="1"/>
    </xf>
    <xf numFmtId="165" fontId="46" fillId="8" borderId="17" xfId="1" applyNumberFormat="1" applyFont="1" applyFill="1" applyBorder="1" applyAlignment="1" applyProtection="1">
      <alignment wrapText="1"/>
      <protection hidden="1"/>
    </xf>
    <xf numFmtId="165" fontId="46" fillId="8" borderId="6" xfId="1" applyNumberFormat="1" applyFont="1" applyFill="1" applyBorder="1" applyAlignment="1" applyProtection="1">
      <alignment wrapText="1"/>
      <protection hidden="1"/>
    </xf>
    <xf numFmtId="0" fontId="47" fillId="8" borderId="9" xfId="0" applyFont="1" applyFill="1" applyBorder="1" applyProtection="1">
      <protection hidden="1"/>
    </xf>
    <xf numFmtId="0" fontId="47" fillId="8" borderId="0" xfId="0" applyFont="1" applyFill="1" applyAlignment="1" applyProtection="1">
      <alignment wrapText="1"/>
      <protection hidden="1"/>
    </xf>
    <xf numFmtId="164" fontId="47" fillId="8" borderId="0" xfId="1" applyFont="1" applyFill="1" applyBorder="1" applyAlignment="1" applyProtection="1">
      <alignment wrapText="1"/>
      <protection hidden="1"/>
    </xf>
    <xf numFmtId="0" fontId="47" fillId="8" borderId="10" xfId="0" applyFont="1" applyFill="1" applyBorder="1" applyAlignment="1" applyProtection="1">
      <alignment wrapText="1"/>
      <protection hidden="1"/>
    </xf>
    <xf numFmtId="0" fontId="46" fillId="8" borderId="9" xfId="0" applyFont="1" applyFill="1" applyBorder="1" applyProtection="1">
      <protection hidden="1"/>
    </xf>
    <xf numFmtId="0" fontId="46" fillId="8" borderId="0" xfId="0" applyFont="1" applyFill="1" applyAlignment="1" applyProtection="1">
      <alignment wrapText="1"/>
      <protection hidden="1"/>
    </xf>
    <xf numFmtId="0" fontId="46" fillId="8" borderId="0" xfId="1" applyNumberFormat="1" applyFont="1" applyFill="1" applyBorder="1" applyAlignment="1" applyProtection="1">
      <alignment wrapText="1"/>
      <protection hidden="1"/>
    </xf>
    <xf numFmtId="164" fontId="46" fillId="8" borderId="0" xfId="1" applyFont="1" applyFill="1" applyBorder="1" applyAlignment="1" applyProtection="1">
      <alignment wrapText="1"/>
      <protection hidden="1"/>
    </xf>
    <xf numFmtId="165" fontId="46" fillId="8" borderId="0" xfId="1" applyNumberFormat="1" applyFont="1" applyFill="1" applyBorder="1" applyAlignment="1" applyProtection="1">
      <alignment wrapText="1"/>
      <protection hidden="1"/>
    </xf>
    <xf numFmtId="165" fontId="46" fillId="8" borderId="10" xfId="1" applyNumberFormat="1" applyFont="1" applyFill="1" applyBorder="1" applyAlignment="1" applyProtection="1">
      <alignment wrapText="1"/>
      <protection hidden="1"/>
    </xf>
    <xf numFmtId="165" fontId="21" fillId="10" borderId="1" xfId="1" applyNumberFormat="1" applyFont="1" applyFill="1" applyBorder="1" applyAlignment="1" applyProtection="1">
      <alignment wrapText="1"/>
      <protection hidden="1"/>
    </xf>
    <xf numFmtId="165" fontId="48" fillId="10" borderId="1" xfId="1" applyNumberFormat="1" applyFont="1" applyFill="1" applyBorder="1" applyAlignment="1" applyProtection="1">
      <alignment horizontal="center"/>
      <protection hidden="1"/>
    </xf>
    <xf numFmtId="164" fontId="2" fillId="3" borderId="3" xfId="1" applyFont="1" applyFill="1" applyBorder="1" applyProtection="1">
      <protection locked="0" hidden="1"/>
    </xf>
    <xf numFmtId="164" fontId="27" fillId="0" borderId="23" xfId="1" applyFont="1" applyFill="1" applyBorder="1" applyProtection="1">
      <protection hidden="1"/>
    </xf>
    <xf numFmtId="164" fontId="8" fillId="0" borderId="24" xfId="1" applyFont="1" applyFill="1" applyBorder="1" applyProtection="1">
      <protection hidden="1"/>
    </xf>
    <xf numFmtId="164" fontId="3" fillId="2" borderId="0" xfId="1" applyFont="1" applyFill="1" applyAlignment="1" applyProtection="1">
      <alignment wrapText="1"/>
      <protection hidden="1"/>
    </xf>
    <xf numFmtId="164" fontId="13" fillId="2" borderId="0" xfId="1" applyFont="1" applyFill="1" applyAlignment="1" applyProtection="1">
      <alignment wrapText="1"/>
      <protection hidden="1"/>
    </xf>
    <xf numFmtId="164" fontId="47" fillId="8" borderId="0" xfId="1" applyFont="1" applyFill="1" applyAlignment="1" applyProtection="1">
      <alignment wrapText="1"/>
      <protection hidden="1"/>
    </xf>
    <xf numFmtId="164" fontId="46" fillId="8" borderId="0" xfId="1" applyFont="1" applyFill="1" applyAlignment="1" applyProtection="1">
      <alignment wrapText="1"/>
      <protection hidden="1"/>
    </xf>
    <xf numFmtId="164" fontId="14" fillId="4" borderId="0" xfId="1" applyFont="1" applyFill="1" applyAlignment="1" applyProtection="1">
      <alignment wrapText="1"/>
      <protection hidden="1"/>
    </xf>
    <xf numFmtId="164" fontId="8" fillId="2" borderId="22" xfId="1" applyFont="1" applyFill="1" applyBorder="1" applyProtection="1">
      <protection hidden="1"/>
    </xf>
    <xf numFmtId="164" fontId="14" fillId="2" borderId="0" xfId="1" applyFont="1" applyFill="1" applyAlignment="1" applyProtection="1">
      <alignment horizontal="left" wrapText="1"/>
      <protection hidden="1"/>
    </xf>
    <xf numFmtId="0" fontId="21" fillId="9" borderId="1" xfId="0" applyFont="1" applyFill="1" applyBorder="1" applyProtection="1"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21" fillId="9" borderId="1" xfId="0" quotePrefix="1" applyFont="1" applyFill="1" applyBorder="1" applyAlignment="1" applyProtection="1">
      <alignment horizontal="center"/>
      <protection hidden="1"/>
    </xf>
    <xf numFmtId="165" fontId="21" fillId="9" borderId="1" xfId="1" applyNumberFormat="1" applyFont="1" applyFill="1" applyBorder="1" applyAlignment="1" applyProtection="1">
      <alignment horizontal="center" wrapText="1"/>
      <protection hidden="1"/>
    </xf>
    <xf numFmtId="165" fontId="21" fillId="9" borderId="1" xfId="1" applyNumberFormat="1" applyFont="1" applyFill="1" applyBorder="1" applyAlignment="1" applyProtection="1">
      <alignment horizontal="center"/>
      <protection hidden="1"/>
    </xf>
    <xf numFmtId="0" fontId="21" fillId="9" borderId="1" xfId="0" applyFont="1" applyFill="1" applyBorder="1" applyAlignment="1" applyProtection="1">
      <alignment wrapText="1"/>
      <protection hidden="1"/>
    </xf>
    <xf numFmtId="0" fontId="21" fillId="9" borderId="1" xfId="0" applyFont="1" applyFill="1" applyBorder="1" applyAlignment="1" applyProtection="1">
      <alignment horizontal="center" wrapText="1"/>
      <protection hidden="1"/>
    </xf>
    <xf numFmtId="0" fontId="21" fillId="9" borderId="1" xfId="0" quotePrefix="1" applyFont="1" applyFill="1" applyBorder="1" applyAlignment="1" applyProtection="1">
      <alignment horizontal="center" wrapText="1"/>
      <protection hidden="1"/>
    </xf>
    <xf numFmtId="165" fontId="21" fillId="9" borderId="1" xfId="1" applyNumberFormat="1" applyFont="1" applyFill="1" applyBorder="1" applyAlignment="1" applyProtection="1">
      <alignment wrapText="1"/>
      <protection hidden="1"/>
    </xf>
    <xf numFmtId="165" fontId="21" fillId="9" borderId="1" xfId="1" applyNumberFormat="1" applyFont="1" applyFill="1" applyBorder="1" applyProtection="1"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3</xdr:row>
      <xdr:rowOff>50796</xdr:rowOff>
    </xdr:from>
    <xdr:to>
      <xdr:col>1</xdr:col>
      <xdr:colOff>4038605</xdr:colOff>
      <xdr:row>3</xdr:row>
      <xdr:rowOff>917679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9"/>
  <sheetViews>
    <sheetView tabSelected="1" zoomScale="90" zoomScaleNormal="9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C7" sqref="C7"/>
    </sheetView>
  </sheetViews>
  <sheetFormatPr defaultColWidth="9.140625" defaultRowHeight="12.75" x14ac:dyDescent="0.2"/>
  <cols>
    <col min="1" max="1" width="6.140625" style="79" customWidth="1"/>
    <col min="2" max="2" width="77" style="54" customWidth="1"/>
    <col min="3" max="3" width="11.7109375" style="1" bestFit="1" customWidth="1"/>
    <col min="4" max="4" width="10.140625" style="2" bestFit="1" customWidth="1"/>
    <col min="5" max="5" width="10.140625" style="3" bestFit="1" customWidth="1"/>
    <col min="6" max="6" width="10.140625" style="2" customWidth="1"/>
    <col min="7" max="7" width="10.140625" style="3" customWidth="1"/>
    <col min="8" max="8" width="9.7109375" style="2" customWidth="1"/>
    <col min="9" max="9" width="9.7109375" style="3" customWidth="1"/>
    <col min="10" max="11" width="10.140625" style="3" customWidth="1"/>
    <col min="12" max="12" width="10" style="2" customWidth="1"/>
    <col min="13" max="13" width="9.7109375" style="3" bestFit="1" customWidth="1"/>
    <col min="14" max="14" width="10" style="2" hidden="1" customWidth="1"/>
    <col min="15" max="15" width="8.28515625" style="3" hidden="1" customWidth="1"/>
    <col min="16" max="16" width="11.42578125" style="2" bestFit="1" customWidth="1"/>
    <col min="17" max="17" width="9.7109375" style="3" customWidth="1"/>
    <col min="18" max="18" width="10.5703125" style="2" bestFit="1" customWidth="1"/>
    <col min="19" max="19" width="9.7109375" style="3" bestFit="1" customWidth="1"/>
    <col min="20" max="20" width="11.42578125" style="2" customWidth="1"/>
    <col min="21" max="21" width="10.5703125" style="3" bestFit="1" customWidth="1"/>
    <col min="22" max="22" width="12" style="3" hidden="1" customWidth="1"/>
    <col min="23" max="23" width="11.7109375" style="3" hidden="1" customWidth="1"/>
    <col min="24" max="24" width="9.7109375" style="2" customWidth="1"/>
    <col min="25" max="25" width="9.7109375" style="3" customWidth="1"/>
    <col min="26" max="26" width="9.7109375" style="2" hidden="1" customWidth="1"/>
    <col min="27" max="27" width="9.7109375" style="3" hidden="1" customWidth="1"/>
    <col min="28" max="28" width="10.5703125" style="2" bestFit="1" customWidth="1"/>
    <col min="29" max="29" width="9.7109375" style="3" customWidth="1"/>
    <col min="30" max="30" width="11.28515625" style="3" customWidth="1"/>
    <col min="31" max="31" width="11.7109375" style="3" bestFit="1" customWidth="1"/>
    <col min="32" max="16384" width="9.140625" style="1"/>
  </cols>
  <sheetData>
    <row r="1" spans="1:31" ht="23.25" x14ac:dyDescent="0.35">
      <c r="A1" s="85" t="s">
        <v>187</v>
      </c>
      <c r="B1" s="86"/>
      <c r="C1" s="86"/>
      <c r="D1" s="86"/>
      <c r="E1" s="86"/>
      <c r="F1" s="86"/>
      <c r="G1" s="86"/>
      <c r="H1" s="89"/>
      <c r="I1" s="86"/>
      <c r="J1" s="86"/>
      <c r="K1" s="86"/>
      <c r="L1" s="86"/>
      <c r="M1" s="86"/>
      <c r="N1" s="86"/>
      <c r="O1" s="86"/>
      <c r="P1" s="89"/>
      <c r="Q1" s="86"/>
      <c r="R1" s="227"/>
      <c r="S1" s="86"/>
      <c r="T1" s="86"/>
      <c r="U1" s="86"/>
      <c r="V1" s="86"/>
      <c r="W1" s="86"/>
      <c r="X1" s="89"/>
      <c r="Y1" s="86"/>
      <c r="Z1" s="89"/>
      <c r="AA1" s="86"/>
      <c r="AB1" s="227"/>
      <c r="AC1" s="86"/>
      <c r="AD1" s="86"/>
      <c r="AE1" s="87"/>
    </row>
    <row r="2" spans="1:31" x14ac:dyDescent="0.2">
      <c r="A2" s="93"/>
      <c r="B2" s="94"/>
      <c r="C2" s="95"/>
      <c r="D2" s="96"/>
      <c r="E2" s="97"/>
      <c r="F2" s="96"/>
      <c r="G2" s="97"/>
      <c r="H2" s="96"/>
      <c r="I2" s="97"/>
      <c r="J2" s="97"/>
      <c r="K2" s="97"/>
      <c r="L2" s="96"/>
      <c r="M2" s="97"/>
      <c r="N2" s="96"/>
      <c r="O2" s="97"/>
      <c r="P2" s="96"/>
      <c r="Q2" s="97"/>
      <c r="R2" s="96"/>
      <c r="S2" s="97"/>
      <c r="T2" s="96"/>
      <c r="U2" s="97"/>
      <c r="V2" s="97"/>
      <c r="W2" s="97"/>
      <c r="X2" s="96"/>
      <c r="Y2" s="97"/>
      <c r="Z2" s="96"/>
      <c r="AA2" s="97"/>
      <c r="AB2" s="96"/>
      <c r="AC2" s="97"/>
      <c r="AD2" s="97"/>
      <c r="AE2" s="98"/>
    </row>
    <row r="3" spans="1:31" ht="15.75" x14ac:dyDescent="0.25">
      <c r="A3" s="80" t="s">
        <v>107</v>
      </c>
      <c r="B3" s="81"/>
      <c r="C3" s="81"/>
      <c r="D3" s="247" t="s">
        <v>108</v>
      </c>
      <c r="E3" s="248"/>
      <c r="F3" s="247" t="s">
        <v>110</v>
      </c>
      <c r="G3" s="248"/>
      <c r="H3" s="247" t="s">
        <v>112</v>
      </c>
      <c r="I3" s="248"/>
      <c r="J3" s="247" t="s">
        <v>89</v>
      </c>
      <c r="K3" s="248"/>
      <c r="L3" s="247" t="s">
        <v>90</v>
      </c>
      <c r="M3" s="249"/>
      <c r="N3" s="249"/>
      <c r="O3" s="248"/>
      <c r="P3" s="247" t="s">
        <v>174</v>
      </c>
      <c r="Q3" s="248"/>
      <c r="R3" s="247" t="s">
        <v>91</v>
      </c>
      <c r="S3" s="248"/>
      <c r="T3" s="247" t="s">
        <v>99</v>
      </c>
      <c r="U3" s="249"/>
      <c r="V3" s="249"/>
      <c r="W3" s="248"/>
      <c r="X3" s="247" t="s">
        <v>100</v>
      </c>
      <c r="Y3" s="248"/>
      <c r="Z3" s="247" t="s">
        <v>102</v>
      </c>
      <c r="AA3" s="248"/>
      <c r="AB3" s="247" t="s">
        <v>111</v>
      </c>
      <c r="AC3" s="248"/>
      <c r="AD3" s="247" t="s">
        <v>103</v>
      </c>
      <c r="AE3" s="248"/>
    </row>
    <row r="4" spans="1:31" ht="80.25" customHeight="1" x14ac:dyDescent="0.2">
      <c r="A4" s="4" t="s">
        <v>0</v>
      </c>
      <c r="B4" s="5" t="s">
        <v>1</v>
      </c>
      <c r="C4" s="6" t="s">
        <v>2</v>
      </c>
      <c r="D4" s="7" t="s">
        <v>177</v>
      </c>
      <c r="E4" s="8" t="s">
        <v>109</v>
      </c>
      <c r="F4" s="7" t="s">
        <v>113</v>
      </c>
      <c r="G4" s="8" t="s">
        <v>109</v>
      </c>
      <c r="H4" s="7" t="s">
        <v>151</v>
      </c>
      <c r="I4" s="8" t="s">
        <v>109</v>
      </c>
      <c r="J4" s="7" t="s">
        <v>152</v>
      </c>
      <c r="K4" s="8" t="s">
        <v>109</v>
      </c>
      <c r="L4" s="7" t="s">
        <v>113</v>
      </c>
      <c r="M4" s="8" t="s">
        <v>109</v>
      </c>
      <c r="N4" s="7" t="s">
        <v>114</v>
      </c>
      <c r="O4" s="8" t="s">
        <v>57</v>
      </c>
      <c r="P4" s="7" t="s">
        <v>175</v>
      </c>
      <c r="Q4" s="8" t="s">
        <v>109</v>
      </c>
      <c r="R4" s="7" t="s">
        <v>113</v>
      </c>
      <c r="S4" s="8" t="s">
        <v>109</v>
      </c>
      <c r="T4" s="7" t="s">
        <v>176</v>
      </c>
      <c r="U4" s="7" t="s">
        <v>115</v>
      </c>
      <c r="V4" s="7" t="s">
        <v>116</v>
      </c>
      <c r="W4" s="7" t="s">
        <v>117</v>
      </c>
      <c r="X4" s="7" t="s">
        <v>113</v>
      </c>
      <c r="Y4" s="8" t="s">
        <v>109</v>
      </c>
      <c r="Z4" s="7" t="s">
        <v>113</v>
      </c>
      <c r="AA4" s="8" t="s">
        <v>109</v>
      </c>
      <c r="AB4" s="7" t="s">
        <v>152</v>
      </c>
      <c r="AC4" s="8" t="s">
        <v>109</v>
      </c>
      <c r="AD4" s="7" t="s">
        <v>113</v>
      </c>
      <c r="AE4" s="8" t="s">
        <v>109</v>
      </c>
    </row>
    <row r="5" spans="1:31" x14ac:dyDescent="0.2">
      <c r="A5" s="9"/>
      <c r="B5" s="10"/>
      <c r="C5" s="11"/>
      <c r="D5" s="12"/>
      <c r="E5" s="13"/>
      <c r="F5" s="12"/>
      <c r="G5" s="14"/>
      <c r="H5" s="12"/>
      <c r="I5" s="14"/>
      <c r="J5" s="14"/>
      <c r="K5" s="14"/>
      <c r="L5" s="12"/>
      <c r="M5" s="14"/>
      <c r="N5" s="12"/>
      <c r="O5" s="14"/>
      <c r="P5" s="12"/>
      <c r="Q5" s="14"/>
      <c r="R5" s="12"/>
      <c r="S5" s="14"/>
      <c r="T5" s="12"/>
      <c r="U5" s="14"/>
      <c r="V5" s="12"/>
      <c r="W5" s="14"/>
      <c r="X5" s="12"/>
      <c r="Y5" s="14"/>
      <c r="Z5" s="12"/>
      <c r="AA5" s="14"/>
      <c r="AB5" s="12"/>
      <c r="AC5" s="14"/>
      <c r="AD5" s="13"/>
      <c r="AE5" s="13"/>
    </row>
    <row r="6" spans="1:31" x14ac:dyDescent="0.2">
      <c r="A6" s="15"/>
      <c r="B6" s="16"/>
      <c r="C6" s="17" t="s">
        <v>51</v>
      </c>
      <c r="D6" s="17" t="s">
        <v>52</v>
      </c>
      <c r="E6" s="17" t="s">
        <v>52</v>
      </c>
      <c r="F6" s="83" t="s">
        <v>52</v>
      </c>
      <c r="G6" s="17" t="s">
        <v>52</v>
      </c>
      <c r="H6" s="17" t="s">
        <v>52</v>
      </c>
      <c r="I6" s="17" t="s">
        <v>52</v>
      </c>
      <c r="J6" s="17" t="s">
        <v>52</v>
      </c>
      <c r="K6" s="17" t="s">
        <v>52</v>
      </c>
      <c r="L6" s="17" t="s">
        <v>52</v>
      </c>
      <c r="M6" s="17" t="s">
        <v>52</v>
      </c>
      <c r="N6" s="17" t="s">
        <v>52</v>
      </c>
      <c r="O6" s="17" t="s">
        <v>52</v>
      </c>
      <c r="P6" s="17" t="s">
        <v>52</v>
      </c>
      <c r="Q6" s="17" t="s">
        <v>52</v>
      </c>
      <c r="R6" s="83" t="s">
        <v>52</v>
      </c>
      <c r="S6" s="17" t="s">
        <v>52</v>
      </c>
      <c r="T6" s="17" t="s">
        <v>52</v>
      </c>
      <c r="U6" s="17" t="s">
        <v>52</v>
      </c>
      <c r="V6" s="17" t="s">
        <v>52</v>
      </c>
      <c r="W6" s="17" t="s">
        <v>52</v>
      </c>
      <c r="X6" s="17" t="s">
        <v>52</v>
      </c>
      <c r="Y6" s="17" t="s">
        <v>52</v>
      </c>
      <c r="Z6" s="17" t="s">
        <v>52</v>
      </c>
      <c r="AA6" s="17" t="s">
        <v>52</v>
      </c>
      <c r="AB6" s="83" t="s">
        <v>52</v>
      </c>
      <c r="AC6" s="17" t="s">
        <v>52</v>
      </c>
      <c r="AD6" s="17" t="s">
        <v>52</v>
      </c>
      <c r="AE6" s="17" t="s">
        <v>52</v>
      </c>
    </row>
    <row r="7" spans="1:31" x14ac:dyDescent="0.2">
      <c r="A7" s="18"/>
      <c r="B7" s="19" t="s">
        <v>3</v>
      </c>
      <c r="C7" s="20"/>
      <c r="D7" s="21"/>
      <c r="E7" s="22"/>
      <c r="F7" s="21"/>
      <c r="G7" s="22"/>
      <c r="H7" s="21"/>
      <c r="I7" s="22"/>
      <c r="J7" s="22"/>
      <c r="K7" s="22"/>
      <c r="L7" s="23"/>
      <c r="M7" s="22"/>
      <c r="N7" s="23"/>
      <c r="O7" s="24"/>
      <c r="P7" s="21"/>
      <c r="Q7" s="22"/>
      <c r="R7" s="21"/>
      <c r="S7" s="22"/>
      <c r="T7" s="23"/>
      <c r="U7" s="22"/>
      <c r="V7" s="23"/>
      <c r="W7" s="22"/>
      <c r="X7" s="21"/>
      <c r="Y7" s="22"/>
      <c r="Z7" s="21"/>
      <c r="AA7" s="22"/>
      <c r="AB7" s="21"/>
      <c r="AC7" s="22"/>
      <c r="AD7" s="22"/>
      <c r="AE7" s="24"/>
    </row>
    <row r="8" spans="1:31" x14ac:dyDescent="0.2">
      <c r="A8" s="25"/>
      <c r="B8" s="26"/>
      <c r="C8" s="27"/>
      <c r="D8" s="28"/>
      <c r="E8" s="29"/>
      <c r="F8" s="28"/>
      <c r="G8" s="29"/>
      <c r="H8" s="28"/>
      <c r="I8" s="29"/>
      <c r="J8" s="29"/>
      <c r="K8" s="29"/>
      <c r="L8" s="30"/>
      <c r="M8" s="29"/>
      <c r="N8" s="30"/>
      <c r="O8" s="29"/>
      <c r="P8" s="28"/>
      <c r="Q8" s="29"/>
      <c r="R8" s="28"/>
      <c r="S8" s="29"/>
      <c r="T8" s="30"/>
      <c r="U8" s="29"/>
      <c r="V8" s="30"/>
      <c r="W8" s="29"/>
      <c r="X8" s="28"/>
      <c r="Y8" s="29"/>
      <c r="Z8" s="28"/>
      <c r="AA8" s="29"/>
      <c r="AB8" s="28"/>
      <c r="AC8" s="29"/>
      <c r="AD8" s="30"/>
      <c r="AE8" s="29"/>
    </row>
    <row r="9" spans="1:31" x14ac:dyDescent="0.2">
      <c r="A9" s="31"/>
      <c r="B9" s="32" t="s">
        <v>54</v>
      </c>
      <c r="C9" s="33"/>
      <c r="D9" s="34"/>
      <c r="E9" s="37"/>
      <c r="F9" s="88"/>
      <c r="G9" s="37"/>
      <c r="H9" s="88"/>
      <c r="I9" s="37"/>
      <c r="J9" s="37"/>
      <c r="K9" s="37"/>
      <c r="L9" s="35"/>
      <c r="M9" s="36"/>
      <c r="N9" s="88"/>
      <c r="O9" s="36"/>
      <c r="P9" s="88"/>
      <c r="Q9" s="37"/>
      <c r="R9" s="34"/>
      <c r="S9" s="36"/>
      <c r="T9" s="88"/>
      <c r="U9" s="37"/>
      <c r="V9" s="88"/>
      <c r="W9" s="37"/>
      <c r="X9" s="88"/>
      <c r="Y9" s="37"/>
      <c r="Z9" s="88"/>
      <c r="AA9" s="37"/>
      <c r="AB9" s="88"/>
      <c r="AC9" s="37"/>
      <c r="AD9" s="35"/>
      <c r="AE9" s="37"/>
    </row>
    <row r="10" spans="1:31" x14ac:dyDescent="0.2">
      <c r="A10" s="147" t="s">
        <v>22</v>
      </c>
      <c r="B10" s="148" t="s">
        <v>34</v>
      </c>
      <c r="C10" s="149">
        <v>33</v>
      </c>
      <c r="D10" s="88" t="s">
        <v>188</v>
      </c>
      <c r="E10" s="82" t="s">
        <v>188</v>
      </c>
      <c r="F10" s="150">
        <v>910</v>
      </c>
      <c r="G10" s="82">
        <f>F10/C10</f>
        <v>27.575757575757574</v>
      </c>
      <c r="H10" s="88">
        <v>939.3</v>
      </c>
      <c r="I10" s="37">
        <f t="shared" ref="I10:I20" si="0">H10/C10</f>
        <v>28.463636363636361</v>
      </c>
      <c r="J10" s="82">
        <v>944.5</v>
      </c>
      <c r="K10" s="82">
        <f>J10/C10</f>
        <v>28.621212121212121</v>
      </c>
      <c r="L10" s="150">
        <v>860.3</v>
      </c>
      <c r="M10" s="37">
        <f t="shared" ref="M10:M20" si="1">L10/C10</f>
        <v>26.069696969696967</v>
      </c>
      <c r="N10" s="88">
        <v>916.2</v>
      </c>
      <c r="O10" s="37">
        <f t="shared" ref="O10:O20" si="2">N10/C10</f>
        <v>27.763636363636365</v>
      </c>
      <c r="P10" s="150">
        <v>962.7</v>
      </c>
      <c r="Q10" s="37">
        <f>P10/C10</f>
        <v>29.172727272727276</v>
      </c>
      <c r="R10" s="88">
        <v>940.2</v>
      </c>
      <c r="S10" s="37">
        <f>R10/C10</f>
        <v>28.490909090909092</v>
      </c>
      <c r="T10" s="150">
        <v>874.3</v>
      </c>
      <c r="U10" s="37">
        <f>T10/$C10</f>
        <v>26.493939393939392</v>
      </c>
      <c r="V10" s="150">
        <v>970.3</v>
      </c>
      <c r="W10" s="37">
        <f>V10/$C10</f>
        <v>29.403030303030302</v>
      </c>
      <c r="X10" s="88">
        <v>987</v>
      </c>
      <c r="Y10" s="37">
        <f>X10/C10</f>
        <v>29.90909090909091</v>
      </c>
      <c r="Z10" s="88"/>
      <c r="AA10" s="37">
        <f t="shared" ref="AA10:AA20" si="3">Z10/C10</f>
        <v>0</v>
      </c>
      <c r="AB10" s="150">
        <v>952.2</v>
      </c>
      <c r="AC10" s="37">
        <f t="shared" ref="AC10:AC17" si="4">AB10/C10</f>
        <v>28.854545454545455</v>
      </c>
      <c r="AD10" s="151">
        <f t="shared" ref="AD10:AD24" si="5">ROUND(AE10*C10,1)</f>
        <v>1050.2</v>
      </c>
      <c r="AE10" s="82">
        <f>RCF!J$41</f>
        <v>31.823</v>
      </c>
    </row>
    <row r="11" spans="1:31" x14ac:dyDescent="0.2">
      <c r="A11" s="147" t="s">
        <v>5</v>
      </c>
      <c r="B11" s="148" t="s">
        <v>35</v>
      </c>
      <c r="C11" s="149">
        <v>15</v>
      </c>
      <c r="D11" s="88" t="s">
        <v>188</v>
      </c>
      <c r="E11" s="82" t="s">
        <v>188</v>
      </c>
      <c r="F11" s="150">
        <v>413.6</v>
      </c>
      <c r="G11" s="82">
        <f t="shared" ref="G11:G20" si="6">F11/C11</f>
        <v>27.573333333333334</v>
      </c>
      <c r="H11" s="88">
        <v>427</v>
      </c>
      <c r="I11" s="37">
        <f t="shared" si="0"/>
        <v>28.466666666666665</v>
      </c>
      <c r="J11" s="82">
        <v>429.2</v>
      </c>
      <c r="K11" s="82">
        <f t="shared" ref="K11:K32" si="7">J11/C11</f>
        <v>28.613333333333333</v>
      </c>
      <c r="L11" s="150">
        <v>280.10000000000002</v>
      </c>
      <c r="M11" s="37">
        <f t="shared" si="1"/>
        <v>18.673333333333336</v>
      </c>
      <c r="N11" s="88">
        <v>298.60000000000002</v>
      </c>
      <c r="O11" s="37">
        <f t="shared" si="2"/>
        <v>19.90666666666667</v>
      </c>
      <c r="P11" s="150">
        <v>437.6</v>
      </c>
      <c r="Q11" s="37">
        <f t="shared" ref="Q11:Q32" si="8">P11/C11</f>
        <v>29.173333333333336</v>
      </c>
      <c r="R11" s="88">
        <v>427.3</v>
      </c>
      <c r="S11" s="37">
        <f t="shared" ref="S11:S30" si="9">R11/C11</f>
        <v>28.486666666666668</v>
      </c>
      <c r="T11" s="150">
        <v>397.7</v>
      </c>
      <c r="U11" s="37">
        <f t="shared" ref="U11:W32" si="10">T11/$C11</f>
        <v>26.513333333333332</v>
      </c>
      <c r="V11" s="150">
        <v>440.9</v>
      </c>
      <c r="W11" s="37">
        <f t="shared" si="10"/>
        <v>29.393333333333331</v>
      </c>
      <c r="X11" s="88">
        <v>503</v>
      </c>
      <c r="Y11" s="37">
        <f t="shared" ref="Y11:Y32" si="11">X11/C11</f>
        <v>33.533333333333331</v>
      </c>
      <c r="Z11" s="88"/>
      <c r="AA11" s="37">
        <f t="shared" si="3"/>
        <v>0</v>
      </c>
      <c r="AB11" s="150">
        <v>432.6</v>
      </c>
      <c r="AC11" s="37">
        <f t="shared" si="4"/>
        <v>28.84</v>
      </c>
      <c r="AD11" s="151">
        <f t="shared" si="5"/>
        <v>477.3</v>
      </c>
      <c r="AE11" s="82">
        <f>RCF!J$41</f>
        <v>31.823</v>
      </c>
    </row>
    <row r="12" spans="1:31" x14ac:dyDescent="0.2">
      <c r="A12" s="147" t="s">
        <v>24</v>
      </c>
      <c r="B12" s="148" t="s">
        <v>66</v>
      </c>
      <c r="C12" s="149">
        <v>45</v>
      </c>
      <c r="D12" s="88" t="s">
        <v>188</v>
      </c>
      <c r="E12" s="82" t="s">
        <v>188</v>
      </c>
      <c r="F12" s="150">
        <v>1240.7</v>
      </c>
      <c r="G12" s="82">
        <f t="shared" si="6"/>
        <v>27.571111111111112</v>
      </c>
      <c r="H12" s="88">
        <v>1281.3</v>
      </c>
      <c r="I12" s="37">
        <f t="shared" si="0"/>
        <v>28.473333333333333</v>
      </c>
      <c r="J12" s="82">
        <v>1287.9000000000001</v>
      </c>
      <c r="K12" s="82">
        <f t="shared" si="7"/>
        <v>28.62</v>
      </c>
      <c r="L12" s="150">
        <v>1173.2</v>
      </c>
      <c r="M12" s="37">
        <f t="shared" si="1"/>
        <v>26.071111111111112</v>
      </c>
      <c r="N12" s="88">
        <v>1249.5999999999999</v>
      </c>
      <c r="O12" s="37">
        <f t="shared" si="2"/>
        <v>27.768888888888888</v>
      </c>
      <c r="P12" s="150">
        <v>1312.8</v>
      </c>
      <c r="Q12" s="37">
        <f t="shared" si="8"/>
        <v>29.173333333333332</v>
      </c>
      <c r="R12" s="88">
        <v>1282.3</v>
      </c>
      <c r="S12" s="37">
        <f t="shared" si="9"/>
        <v>28.495555555555555</v>
      </c>
      <c r="T12" s="150">
        <v>1193</v>
      </c>
      <c r="U12" s="37">
        <f t="shared" si="10"/>
        <v>26.511111111111113</v>
      </c>
      <c r="V12" s="150">
        <v>1323.3</v>
      </c>
      <c r="W12" s="37">
        <f t="shared" si="10"/>
        <v>29.406666666666666</v>
      </c>
      <c r="X12" s="88">
        <v>1345.3</v>
      </c>
      <c r="Y12" s="37">
        <f t="shared" si="11"/>
        <v>29.895555555555553</v>
      </c>
      <c r="Z12" s="88"/>
      <c r="AA12" s="37">
        <f t="shared" si="3"/>
        <v>0</v>
      </c>
      <c r="AB12" s="150">
        <v>1298.4000000000001</v>
      </c>
      <c r="AC12" s="37">
        <f t="shared" si="4"/>
        <v>28.853333333333335</v>
      </c>
      <c r="AD12" s="151">
        <f t="shared" si="5"/>
        <v>1432</v>
      </c>
      <c r="AE12" s="82">
        <f>RCF!J$41</f>
        <v>31.823</v>
      </c>
    </row>
    <row r="13" spans="1:31" ht="25.5" x14ac:dyDescent="0.2">
      <c r="A13" s="147" t="s">
        <v>6</v>
      </c>
      <c r="B13" s="148" t="s">
        <v>50</v>
      </c>
      <c r="C13" s="149">
        <v>15</v>
      </c>
      <c r="D13" s="88" t="s">
        <v>188</v>
      </c>
      <c r="E13" s="82" t="s">
        <v>188</v>
      </c>
      <c r="F13" s="150">
        <v>413.6</v>
      </c>
      <c r="G13" s="82">
        <f t="shared" si="6"/>
        <v>27.573333333333334</v>
      </c>
      <c r="H13" s="88">
        <v>427</v>
      </c>
      <c r="I13" s="37">
        <f t="shared" si="0"/>
        <v>28.466666666666665</v>
      </c>
      <c r="J13" s="82">
        <v>429.2</v>
      </c>
      <c r="K13" s="82">
        <f t="shared" si="7"/>
        <v>28.613333333333333</v>
      </c>
      <c r="L13" s="150">
        <v>391</v>
      </c>
      <c r="M13" s="37">
        <f t="shared" si="1"/>
        <v>26.066666666666666</v>
      </c>
      <c r="N13" s="88">
        <v>416.4</v>
      </c>
      <c r="O13" s="37">
        <f t="shared" si="2"/>
        <v>27.759999999999998</v>
      </c>
      <c r="P13" s="150">
        <v>437.6</v>
      </c>
      <c r="Q13" s="37">
        <f t="shared" si="8"/>
        <v>29.173333333333336</v>
      </c>
      <c r="R13" s="88">
        <v>427.3</v>
      </c>
      <c r="S13" s="37">
        <f t="shared" si="9"/>
        <v>28.486666666666668</v>
      </c>
      <c r="T13" s="150">
        <v>397.7</v>
      </c>
      <c r="U13" s="37">
        <f t="shared" si="10"/>
        <v>26.513333333333332</v>
      </c>
      <c r="V13" s="150">
        <v>440.9</v>
      </c>
      <c r="W13" s="37">
        <f t="shared" si="10"/>
        <v>29.393333333333331</v>
      </c>
      <c r="X13" s="88">
        <v>503</v>
      </c>
      <c r="Y13" s="37">
        <f t="shared" si="11"/>
        <v>33.533333333333331</v>
      </c>
      <c r="Z13" s="88"/>
      <c r="AA13" s="37">
        <f t="shared" si="3"/>
        <v>0</v>
      </c>
      <c r="AB13" s="150">
        <v>485.3</v>
      </c>
      <c r="AC13" s="37">
        <f t="shared" si="4"/>
        <v>32.353333333333332</v>
      </c>
      <c r="AD13" s="151">
        <f t="shared" si="5"/>
        <v>477.3</v>
      </c>
      <c r="AE13" s="82">
        <f>RCF!J$41</f>
        <v>31.823</v>
      </c>
    </row>
    <row r="14" spans="1:31" x14ac:dyDescent="0.2">
      <c r="A14" s="147" t="s">
        <v>7</v>
      </c>
      <c r="B14" s="148" t="s">
        <v>153</v>
      </c>
      <c r="C14" s="149">
        <v>12</v>
      </c>
      <c r="D14" s="88" t="s">
        <v>188</v>
      </c>
      <c r="E14" s="82" t="s">
        <v>188</v>
      </c>
      <c r="F14" s="150">
        <v>232</v>
      </c>
      <c r="G14" s="82">
        <f t="shared" si="6"/>
        <v>19.333333333333332</v>
      </c>
      <c r="H14" s="88">
        <v>342.2</v>
      </c>
      <c r="I14" s="37">
        <f t="shared" si="0"/>
        <v>28.516666666666666</v>
      </c>
      <c r="J14" s="82">
        <v>343.6</v>
      </c>
      <c r="K14" s="82">
        <f t="shared" si="7"/>
        <v>28.633333333333336</v>
      </c>
      <c r="L14" s="150">
        <v>241.7</v>
      </c>
      <c r="M14" s="37">
        <f t="shared" si="1"/>
        <v>20.141666666666666</v>
      </c>
      <c r="N14" s="88">
        <v>257.3</v>
      </c>
      <c r="O14" s="37">
        <f t="shared" si="2"/>
        <v>21.441666666666666</v>
      </c>
      <c r="P14" s="150">
        <v>0</v>
      </c>
      <c r="Q14" s="37">
        <f t="shared" si="8"/>
        <v>0</v>
      </c>
      <c r="R14" s="88">
        <v>342.2</v>
      </c>
      <c r="S14" s="37">
        <f t="shared" si="9"/>
        <v>28.516666666666666</v>
      </c>
      <c r="T14" s="150">
        <v>317.89999999999998</v>
      </c>
      <c r="U14" s="37">
        <f t="shared" si="10"/>
        <v>26.491666666666664</v>
      </c>
      <c r="V14" s="150">
        <v>352.9</v>
      </c>
      <c r="W14" s="37">
        <f t="shared" si="10"/>
        <v>29.408333333333331</v>
      </c>
      <c r="X14" s="88">
        <v>359.2</v>
      </c>
      <c r="Y14" s="37">
        <f t="shared" si="11"/>
        <v>29.933333333333334</v>
      </c>
      <c r="Z14" s="88"/>
      <c r="AA14" s="37">
        <f t="shared" si="3"/>
        <v>0</v>
      </c>
      <c r="AB14" s="150">
        <v>346.3</v>
      </c>
      <c r="AC14" s="37">
        <f t="shared" si="4"/>
        <v>28.858333333333334</v>
      </c>
      <c r="AD14" s="151">
        <f t="shared" si="5"/>
        <v>381.9</v>
      </c>
      <c r="AE14" s="82">
        <f>RCF!J$41</f>
        <v>31.823</v>
      </c>
    </row>
    <row r="15" spans="1:31" x14ac:dyDescent="0.2">
      <c r="A15" s="147" t="s">
        <v>8</v>
      </c>
      <c r="B15" s="148" t="s">
        <v>62</v>
      </c>
      <c r="C15" s="149">
        <v>5</v>
      </c>
      <c r="D15" s="88" t="s">
        <v>188</v>
      </c>
      <c r="E15" s="82" t="s">
        <v>188</v>
      </c>
      <c r="F15" s="150">
        <v>154.6</v>
      </c>
      <c r="G15" s="82">
        <f t="shared" si="6"/>
        <v>30.919999999999998</v>
      </c>
      <c r="H15" s="88">
        <v>142.30000000000001</v>
      </c>
      <c r="I15" s="37">
        <f t="shared" si="0"/>
        <v>28.46</v>
      </c>
      <c r="J15" s="82">
        <v>214.3</v>
      </c>
      <c r="K15" s="82">
        <f t="shared" si="7"/>
        <v>42.86</v>
      </c>
      <c r="L15" s="150">
        <v>130.19999999999999</v>
      </c>
      <c r="M15" s="37">
        <f t="shared" si="1"/>
        <v>26.04</v>
      </c>
      <c r="N15" s="88">
        <v>138.5</v>
      </c>
      <c r="O15" s="37">
        <f t="shared" si="2"/>
        <v>27.7</v>
      </c>
      <c r="P15" s="150">
        <v>259.8</v>
      </c>
      <c r="Q15" s="37">
        <f t="shared" si="8"/>
        <v>51.96</v>
      </c>
      <c r="R15" s="88">
        <v>142.80000000000001</v>
      </c>
      <c r="S15" s="37">
        <f t="shared" si="9"/>
        <v>28.560000000000002</v>
      </c>
      <c r="T15" s="150">
        <v>148.4</v>
      </c>
      <c r="U15" s="37">
        <f t="shared" si="10"/>
        <v>29.68</v>
      </c>
      <c r="V15" s="150">
        <v>147</v>
      </c>
      <c r="W15" s="37">
        <f t="shared" si="10"/>
        <v>29.4</v>
      </c>
      <c r="X15" s="88">
        <v>149.69999999999999</v>
      </c>
      <c r="Y15" s="37">
        <f t="shared" si="11"/>
        <v>29.939999999999998</v>
      </c>
      <c r="Z15" s="88"/>
      <c r="AA15" s="37">
        <f t="shared" si="3"/>
        <v>0</v>
      </c>
      <c r="AB15" s="150">
        <v>161.80000000000001</v>
      </c>
      <c r="AC15" s="37">
        <f t="shared" si="4"/>
        <v>32.36</v>
      </c>
      <c r="AD15" s="151">
        <f t="shared" si="5"/>
        <v>159.1</v>
      </c>
      <c r="AE15" s="82">
        <f>RCF!J$41</f>
        <v>31.823</v>
      </c>
    </row>
    <row r="16" spans="1:31" x14ac:dyDescent="0.2">
      <c r="A16" s="147" t="s">
        <v>9</v>
      </c>
      <c r="B16" s="148" t="s">
        <v>63</v>
      </c>
      <c r="C16" s="149">
        <v>9</v>
      </c>
      <c r="D16" s="88" t="s">
        <v>188</v>
      </c>
      <c r="E16" s="82" t="s">
        <v>188</v>
      </c>
      <c r="F16" s="150">
        <v>248.2</v>
      </c>
      <c r="G16" s="82">
        <f t="shared" si="6"/>
        <v>27.577777777777776</v>
      </c>
      <c r="H16" s="88">
        <v>256.5</v>
      </c>
      <c r="I16" s="37">
        <f t="shared" si="0"/>
        <v>28.5</v>
      </c>
      <c r="J16" s="82">
        <v>143.6</v>
      </c>
      <c r="K16" s="82">
        <f t="shared" si="7"/>
        <v>15.955555555555556</v>
      </c>
      <c r="L16" s="150">
        <v>234.4</v>
      </c>
      <c r="M16" s="37">
        <f t="shared" si="1"/>
        <v>26.044444444444444</v>
      </c>
      <c r="N16" s="88">
        <v>249.4</v>
      </c>
      <c r="O16" s="37">
        <f t="shared" si="2"/>
        <v>27.711111111111112</v>
      </c>
      <c r="P16" s="150">
        <v>437.6</v>
      </c>
      <c r="Q16" s="37">
        <f t="shared" si="8"/>
        <v>48.622222222222227</v>
      </c>
      <c r="R16" s="88">
        <v>256.2</v>
      </c>
      <c r="S16" s="37">
        <f t="shared" si="9"/>
        <v>28.466666666666665</v>
      </c>
      <c r="T16" s="150">
        <v>238.4</v>
      </c>
      <c r="U16" s="37">
        <f t="shared" si="10"/>
        <v>26.488888888888891</v>
      </c>
      <c r="V16" s="150">
        <v>264.3</v>
      </c>
      <c r="W16" s="37">
        <f t="shared" si="10"/>
        <v>29.366666666666667</v>
      </c>
      <c r="X16" s="88">
        <v>269</v>
      </c>
      <c r="Y16" s="37">
        <f t="shared" si="11"/>
        <v>29.888888888888889</v>
      </c>
      <c r="Z16" s="88"/>
      <c r="AA16" s="37">
        <f t="shared" si="3"/>
        <v>0</v>
      </c>
      <c r="AB16" s="150">
        <v>259.89999999999998</v>
      </c>
      <c r="AC16" s="37">
        <f t="shared" si="4"/>
        <v>28.877777777777776</v>
      </c>
      <c r="AD16" s="151">
        <f t="shared" si="5"/>
        <v>286.39999999999998</v>
      </c>
      <c r="AE16" s="82">
        <f>RCF!J$41</f>
        <v>31.823</v>
      </c>
    </row>
    <row r="17" spans="1:31" x14ac:dyDescent="0.2">
      <c r="A17" s="140" t="s">
        <v>144</v>
      </c>
      <c r="B17" s="141" t="s">
        <v>145</v>
      </c>
      <c r="C17" s="142">
        <v>8</v>
      </c>
      <c r="D17" s="88" t="s">
        <v>188</v>
      </c>
      <c r="E17" s="82" t="s">
        <v>188</v>
      </c>
      <c r="F17" s="152">
        <f>F19</f>
        <v>220.5</v>
      </c>
      <c r="G17" s="82">
        <f t="shared" ref="G17" si="12">F17/C17</f>
        <v>27.5625</v>
      </c>
      <c r="H17" s="137">
        <v>227.6</v>
      </c>
      <c r="I17" s="37">
        <f t="shared" ref="I17" si="13">H17/C17</f>
        <v>28.45</v>
      </c>
      <c r="J17" s="138">
        <v>257.39999999999998</v>
      </c>
      <c r="K17" s="82">
        <f t="shared" ref="K17" si="14">J17/C17</f>
        <v>32.174999999999997</v>
      </c>
      <c r="L17" s="152">
        <f>L19</f>
        <v>208.7</v>
      </c>
      <c r="M17" s="37">
        <f t="shared" ref="M17" si="15">L17/C17</f>
        <v>26.087499999999999</v>
      </c>
      <c r="N17" s="137">
        <f>N19</f>
        <v>222.2</v>
      </c>
      <c r="O17" s="153">
        <f t="shared" ref="O17" si="16">N17/C17</f>
        <v>27.774999999999999</v>
      </c>
      <c r="P17" s="150">
        <v>259.8</v>
      </c>
      <c r="Q17" s="37">
        <f t="shared" si="8"/>
        <v>32.475000000000001</v>
      </c>
      <c r="R17" s="137">
        <f>R19</f>
        <v>227.8</v>
      </c>
      <c r="S17" s="153">
        <f t="shared" ref="S17" si="17">R17/C17</f>
        <v>28.475000000000001</v>
      </c>
      <c r="T17" s="152">
        <v>491.9</v>
      </c>
      <c r="U17" s="153">
        <f t="shared" ref="U17" si="18">T17/$C17</f>
        <v>61.487499999999997</v>
      </c>
      <c r="V17" s="152">
        <v>527.20000000000005</v>
      </c>
      <c r="W17" s="153">
        <f t="shared" ref="W17" si="19">V17/$C17</f>
        <v>65.900000000000006</v>
      </c>
      <c r="X17" s="88">
        <v>0</v>
      </c>
      <c r="Y17" s="37">
        <f t="shared" si="11"/>
        <v>0</v>
      </c>
      <c r="Z17" s="137">
        <f>Z19</f>
        <v>0</v>
      </c>
      <c r="AA17" s="37">
        <f t="shared" si="3"/>
        <v>0</v>
      </c>
      <c r="AB17" s="152">
        <v>0</v>
      </c>
      <c r="AC17" s="37">
        <f t="shared" si="4"/>
        <v>0</v>
      </c>
      <c r="AD17" s="151">
        <f t="shared" si="5"/>
        <v>254.6</v>
      </c>
      <c r="AE17" s="82">
        <f>RCF!J$41</f>
        <v>31.823</v>
      </c>
    </row>
    <row r="18" spans="1:31" x14ac:dyDescent="0.2">
      <c r="A18" s="143" t="s">
        <v>10</v>
      </c>
      <c r="B18" s="144" t="s">
        <v>146</v>
      </c>
      <c r="C18" s="145">
        <v>6</v>
      </c>
      <c r="D18" s="88" t="s">
        <v>188</v>
      </c>
      <c r="E18" s="82" t="s">
        <v>188</v>
      </c>
      <c r="F18" s="150">
        <v>165.5</v>
      </c>
      <c r="G18" s="82">
        <f t="shared" si="6"/>
        <v>27.583333333333332</v>
      </c>
      <c r="H18" s="88">
        <v>171</v>
      </c>
      <c r="I18" s="37">
        <f t="shared" si="0"/>
        <v>28.5</v>
      </c>
      <c r="J18" s="154">
        <f>ROUNDDOWN(C18*K18,1)</f>
        <v>171.6</v>
      </c>
      <c r="K18" s="154">
        <f t="shared" ref="K18:K20" si="20">K$11</f>
        <v>28.613333333333333</v>
      </c>
      <c r="L18" s="150">
        <v>156.5</v>
      </c>
      <c r="M18" s="37">
        <f t="shared" si="1"/>
        <v>26.083333333333332</v>
      </c>
      <c r="N18" s="88">
        <v>166.7</v>
      </c>
      <c r="O18" s="37">
        <f t="shared" si="2"/>
        <v>27.783333333333331</v>
      </c>
      <c r="P18" s="150">
        <v>145.9</v>
      </c>
      <c r="Q18" s="37">
        <f t="shared" si="8"/>
        <v>24.316666666666666</v>
      </c>
      <c r="R18" s="151">
        <f>ROUNDDOWN(C18*S18,1)</f>
        <v>170.9</v>
      </c>
      <c r="S18" s="155">
        <f t="shared" ref="S18:S20" si="21">S$11</f>
        <v>28.486666666666668</v>
      </c>
      <c r="T18" s="150">
        <v>159.1</v>
      </c>
      <c r="U18" s="37">
        <f t="shared" si="10"/>
        <v>26.516666666666666</v>
      </c>
      <c r="V18" s="150">
        <v>176.4</v>
      </c>
      <c r="W18" s="37">
        <f t="shared" si="10"/>
        <v>29.400000000000002</v>
      </c>
      <c r="X18" s="88">
        <v>201.1</v>
      </c>
      <c r="Y18" s="37">
        <f t="shared" si="11"/>
        <v>33.516666666666666</v>
      </c>
      <c r="Z18" s="88"/>
      <c r="AA18" s="37">
        <f t="shared" si="3"/>
        <v>0</v>
      </c>
      <c r="AB18" s="228">
        <f>ROUNDDOWN(C18*AC18,1)</f>
        <v>173</v>
      </c>
      <c r="AC18" s="155">
        <f>AC$11</f>
        <v>28.84</v>
      </c>
      <c r="AD18" s="151">
        <f t="shared" si="5"/>
        <v>190.9</v>
      </c>
      <c r="AE18" s="82">
        <f>RCF!J$41</f>
        <v>31.823</v>
      </c>
    </row>
    <row r="19" spans="1:31" x14ac:dyDescent="0.2">
      <c r="A19" s="143" t="s">
        <v>11</v>
      </c>
      <c r="B19" s="144" t="s">
        <v>147</v>
      </c>
      <c r="C19" s="145">
        <v>8</v>
      </c>
      <c r="D19" s="88" t="s">
        <v>188</v>
      </c>
      <c r="E19" s="82" t="s">
        <v>188</v>
      </c>
      <c r="F19" s="150">
        <v>220.5</v>
      </c>
      <c r="G19" s="82">
        <f t="shared" si="6"/>
        <v>27.5625</v>
      </c>
      <c r="H19" s="88">
        <v>227.6</v>
      </c>
      <c r="I19" s="37">
        <f t="shared" si="0"/>
        <v>28.45</v>
      </c>
      <c r="J19" s="154">
        <f>ROUNDDOWN(C19*K19,1)</f>
        <v>228.9</v>
      </c>
      <c r="K19" s="154">
        <f t="shared" si="20"/>
        <v>28.613333333333333</v>
      </c>
      <c r="L19" s="150">
        <v>208.7</v>
      </c>
      <c r="M19" s="37">
        <f t="shared" si="1"/>
        <v>26.087499999999999</v>
      </c>
      <c r="N19" s="88">
        <v>222.2</v>
      </c>
      <c r="O19" s="37">
        <f t="shared" si="2"/>
        <v>27.774999999999999</v>
      </c>
      <c r="P19" s="150">
        <v>262.60000000000002</v>
      </c>
      <c r="Q19" s="37">
        <f t="shared" si="8"/>
        <v>32.825000000000003</v>
      </c>
      <c r="R19" s="151">
        <f>ROUNDDOWN(C19*S19,1)</f>
        <v>227.8</v>
      </c>
      <c r="S19" s="155">
        <f t="shared" si="21"/>
        <v>28.486666666666668</v>
      </c>
      <c r="T19" s="150">
        <v>212.1</v>
      </c>
      <c r="U19" s="37">
        <f t="shared" si="10"/>
        <v>26.512499999999999</v>
      </c>
      <c r="V19" s="150">
        <v>235.1</v>
      </c>
      <c r="W19" s="37">
        <f t="shared" si="10"/>
        <v>29.387499999999999</v>
      </c>
      <c r="X19" s="88">
        <v>268.39999999999998</v>
      </c>
      <c r="Y19" s="37">
        <f t="shared" si="11"/>
        <v>33.549999999999997</v>
      </c>
      <c r="Z19" s="88"/>
      <c r="AA19" s="37">
        <f t="shared" si="3"/>
        <v>0</v>
      </c>
      <c r="AB19" s="228">
        <f>ROUNDDOWN(C19*AC19,1)</f>
        <v>230.7</v>
      </c>
      <c r="AC19" s="155">
        <f>AC$11</f>
        <v>28.84</v>
      </c>
      <c r="AD19" s="151">
        <f t="shared" si="5"/>
        <v>254.6</v>
      </c>
      <c r="AE19" s="82">
        <f>RCF!J$41</f>
        <v>31.823</v>
      </c>
    </row>
    <row r="20" spans="1:31" x14ac:dyDescent="0.2">
      <c r="A20" s="143" t="s">
        <v>12</v>
      </c>
      <c r="B20" s="144" t="s">
        <v>148</v>
      </c>
      <c r="C20" s="145">
        <v>14</v>
      </c>
      <c r="D20" s="88" t="s">
        <v>188</v>
      </c>
      <c r="E20" s="82" t="s">
        <v>188</v>
      </c>
      <c r="F20" s="150">
        <v>385.8</v>
      </c>
      <c r="G20" s="82">
        <f t="shared" si="6"/>
        <v>27.557142857142857</v>
      </c>
      <c r="H20" s="88">
        <v>398.7</v>
      </c>
      <c r="I20" s="37">
        <f t="shared" si="0"/>
        <v>28.478571428571428</v>
      </c>
      <c r="J20" s="154">
        <f>ROUNDDOWN(C20*K20,1)</f>
        <v>400.5</v>
      </c>
      <c r="K20" s="154">
        <f t="shared" si="20"/>
        <v>28.613333333333333</v>
      </c>
      <c r="L20" s="150">
        <v>365.4</v>
      </c>
      <c r="M20" s="37">
        <f t="shared" si="1"/>
        <v>26.099999999999998</v>
      </c>
      <c r="N20" s="88">
        <v>389.2</v>
      </c>
      <c r="O20" s="37">
        <f t="shared" si="2"/>
        <v>27.8</v>
      </c>
      <c r="P20" s="150">
        <v>175</v>
      </c>
      <c r="Q20" s="37">
        <f t="shared" si="8"/>
        <v>12.5</v>
      </c>
      <c r="R20" s="151">
        <f>ROUNDDOWN(C20*S20,1)</f>
        <v>398.8</v>
      </c>
      <c r="S20" s="155">
        <f t="shared" si="21"/>
        <v>28.486666666666668</v>
      </c>
      <c r="T20" s="150">
        <v>371.1</v>
      </c>
      <c r="U20" s="37">
        <f t="shared" si="10"/>
        <v>26.50714285714286</v>
      </c>
      <c r="V20" s="150">
        <v>411.5</v>
      </c>
      <c r="W20" s="37">
        <f t="shared" si="10"/>
        <v>29.392857142857142</v>
      </c>
      <c r="X20" s="88">
        <v>469.2</v>
      </c>
      <c r="Y20" s="37">
        <f t="shared" si="11"/>
        <v>33.514285714285712</v>
      </c>
      <c r="Z20" s="88"/>
      <c r="AA20" s="37">
        <f t="shared" si="3"/>
        <v>0</v>
      </c>
      <c r="AB20" s="228">
        <f>ROUNDDOWN(C20*AC20,1)</f>
        <v>403.7</v>
      </c>
      <c r="AC20" s="155">
        <f>AC$11</f>
        <v>28.84</v>
      </c>
      <c r="AD20" s="151">
        <f t="shared" si="5"/>
        <v>445.5</v>
      </c>
      <c r="AE20" s="82">
        <f>RCF!J$41</f>
        <v>31.823</v>
      </c>
    </row>
    <row r="21" spans="1:31" ht="25.5" x14ac:dyDescent="0.2">
      <c r="A21" s="147" t="s">
        <v>25</v>
      </c>
      <c r="B21" s="148" t="s">
        <v>64</v>
      </c>
      <c r="C21" s="149"/>
      <c r="D21" s="88" t="s">
        <v>188</v>
      </c>
      <c r="E21" s="37">
        <v>0</v>
      </c>
      <c r="F21" s="150">
        <v>0</v>
      </c>
      <c r="G21" s="82">
        <v>0</v>
      </c>
      <c r="H21" s="88">
        <v>239.1</v>
      </c>
      <c r="I21" s="37">
        <v>0</v>
      </c>
      <c r="J21" s="82">
        <v>0</v>
      </c>
      <c r="K21" s="82"/>
      <c r="L21" s="150">
        <v>215.1</v>
      </c>
      <c r="M21" s="37"/>
      <c r="N21" s="88">
        <v>0</v>
      </c>
      <c r="O21" s="37">
        <v>0</v>
      </c>
      <c r="P21" s="150">
        <v>233.4</v>
      </c>
      <c r="Q21" s="37">
        <v>0</v>
      </c>
      <c r="R21" s="88">
        <v>0</v>
      </c>
      <c r="S21" s="37"/>
      <c r="T21" s="150"/>
      <c r="U21" s="37">
        <v>0</v>
      </c>
      <c r="V21" s="150">
        <v>0</v>
      </c>
      <c r="W21" s="37">
        <v>0</v>
      </c>
      <c r="X21" s="88"/>
      <c r="Y21" s="37">
        <v>0</v>
      </c>
      <c r="Z21" s="88">
        <v>0</v>
      </c>
      <c r="AA21" s="37">
        <v>0</v>
      </c>
      <c r="AB21" s="150">
        <v>0</v>
      </c>
      <c r="AC21" s="37">
        <v>0</v>
      </c>
      <c r="AD21" s="151">
        <f t="shared" si="5"/>
        <v>0</v>
      </c>
      <c r="AE21" s="37">
        <v>0</v>
      </c>
    </row>
    <row r="22" spans="1:31" x14ac:dyDescent="0.2">
      <c r="A22" s="147" t="s">
        <v>21</v>
      </c>
      <c r="B22" s="148" t="s">
        <v>65</v>
      </c>
      <c r="C22" s="149"/>
      <c r="D22" s="88" t="s">
        <v>188</v>
      </c>
      <c r="E22" s="37">
        <v>0</v>
      </c>
      <c r="F22" s="150">
        <v>0</v>
      </c>
      <c r="G22" s="82">
        <v>0</v>
      </c>
      <c r="H22" s="88">
        <v>0</v>
      </c>
      <c r="I22" s="37">
        <v>0</v>
      </c>
      <c r="J22" s="82">
        <v>0</v>
      </c>
      <c r="K22" s="82"/>
      <c r="L22" s="150">
        <v>0</v>
      </c>
      <c r="M22" s="37"/>
      <c r="N22" s="88">
        <v>0</v>
      </c>
      <c r="O22" s="37">
        <v>0</v>
      </c>
      <c r="P22" s="150">
        <v>408.4</v>
      </c>
      <c r="Q22" s="37">
        <v>0</v>
      </c>
      <c r="R22" s="88">
        <v>0</v>
      </c>
      <c r="S22" s="37"/>
      <c r="T22" s="150">
        <v>0</v>
      </c>
      <c r="U22" s="37">
        <v>0</v>
      </c>
      <c r="V22" s="150">
        <v>123.6</v>
      </c>
      <c r="W22" s="37">
        <v>0</v>
      </c>
      <c r="X22" s="88"/>
      <c r="Y22" s="37">
        <v>0</v>
      </c>
      <c r="Z22" s="88">
        <v>0</v>
      </c>
      <c r="AA22" s="37">
        <v>0</v>
      </c>
      <c r="AB22" s="150">
        <v>0</v>
      </c>
      <c r="AC22" s="37">
        <v>0</v>
      </c>
      <c r="AD22" s="151">
        <f t="shared" si="5"/>
        <v>0</v>
      </c>
      <c r="AE22" s="37">
        <v>0</v>
      </c>
    </row>
    <row r="23" spans="1:31" x14ac:dyDescent="0.2">
      <c r="A23" s="147" t="s">
        <v>17</v>
      </c>
      <c r="B23" s="148" t="s">
        <v>67</v>
      </c>
      <c r="C23" s="149">
        <v>16</v>
      </c>
      <c r="D23" s="88" t="s">
        <v>188</v>
      </c>
      <c r="E23" s="82" t="s">
        <v>188</v>
      </c>
      <c r="F23" s="150">
        <v>494.5</v>
      </c>
      <c r="G23" s="82">
        <f t="shared" ref="G23:G32" si="22">F23/C23</f>
        <v>30.90625</v>
      </c>
      <c r="H23" s="88">
        <v>454.5</v>
      </c>
      <c r="I23" s="37">
        <f t="shared" ref="I23:I32" si="23">H23/C23</f>
        <v>28.40625</v>
      </c>
      <c r="J23" s="82">
        <v>457.8</v>
      </c>
      <c r="K23" s="82">
        <f t="shared" si="7"/>
        <v>28.612500000000001</v>
      </c>
      <c r="L23" s="150">
        <v>440.3</v>
      </c>
      <c r="M23" s="37">
        <f t="shared" ref="M23:M32" si="24">L23/C23</f>
        <v>27.518750000000001</v>
      </c>
      <c r="N23" s="88">
        <v>469</v>
      </c>
      <c r="O23" s="37">
        <f t="shared" ref="O23:O32" si="25">N23/C23</f>
        <v>29.3125</v>
      </c>
      <c r="P23" s="150">
        <v>466.8</v>
      </c>
      <c r="Q23" s="37">
        <f t="shared" si="8"/>
        <v>29.175000000000001</v>
      </c>
      <c r="R23" s="88">
        <v>455.9</v>
      </c>
      <c r="S23" s="37">
        <f t="shared" si="9"/>
        <v>28.493749999999999</v>
      </c>
      <c r="T23" s="150">
        <v>475.5</v>
      </c>
      <c r="U23" s="37">
        <v>0</v>
      </c>
      <c r="V23" s="150">
        <v>527.4</v>
      </c>
      <c r="W23" s="37">
        <v>0</v>
      </c>
      <c r="X23" s="88"/>
      <c r="Y23" s="37">
        <f t="shared" si="11"/>
        <v>0</v>
      </c>
      <c r="Z23" s="88"/>
      <c r="AA23" s="37">
        <f t="shared" ref="AA23:AA32" si="26">Z23/C23</f>
        <v>0</v>
      </c>
      <c r="AB23" s="150">
        <v>517.20000000000005</v>
      </c>
      <c r="AC23" s="37">
        <f t="shared" ref="AC23:AC32" si="27">AB23/C23</f>
        <v>32.325000000000003</v>
      </c>
      <c r="AD23" s="151">
        <f t="shared" si="5"/>
        <v>0</v>
      </c>
      <c r="AE23" s="37"/>
    </row>
    <row r="24" spans="1:31" x14ac:dyDescent="0.2">
      <c r="A24" s="147" t="s">
        <v>20</v>
      </c>
      <c r="B24" s="148" t="s">
        <v>68</v>
      </c>
      <c r="C24" s="149">
        <v>16</v>
      </c>
      <c r="D24" s="88" t="s">
        <v>188</v>
      </c>
      <c r="E24" s="82" t="s">
        <v>188</v>
      </c>
      <c r="F24" s="150">
        <v>494.5</v>
      </c>
      <c r="G24" s="82">
        <f t="shared" si="22"/>
        <v>30.90625</v>
      </c>
      <c r="H24" s="88">
        <v>454.5</v>
      </c>
      <c r="I24" s="37">
        <f t="shared" si="23"/>
        <v>28.40625</v>
      </c>
      <c r="J24" s="82">
        <v>457.8</v>
      </c>
      <c r="K24" s="82">
        <f t="shared" si="7"/>
        <v>28.612500000000001</v>
      </c>
      <c r="L24" s="150">
        <v>440.3</v>
      </c>
      <c r="M24" s="37">
        <f t="shared" si="24"/>
        <v>27.518750000000001</v>
      </c>
      <c r="N24" s="88">
        <v>469</v>
      </c>
      <c r="O24" s="37">
        <f t="shared" si="25"/>
        <v>29.3125</v>
      </c>
      <c r="P24" s="150">
        <v>466.8</v>
      </c>
      <c r="Q24" s="37">
        <f t="shared" si="8"/>
        <v>29.175000000000001</v>
      </c>
      <c r="R24" s="88">
        <v>455.9</v>
      </c>
      <c r="S24" s="37">
        <f t="shared" si="9"/>
        <v>28.493749999999999</v>
      </c>
      <c r="T24" s="150">
        <v>475.5</v>
      </c>
      <c r="U24" s="37">
        <v>0</v>
      </c>
      <c r="V24" s="150">
        <v>527.4</v>
      </c>
      <c r="W24" s="37">
        <v>0</v>
      </c>
      <c r="X24" s="88">
        <v>0</v>
      </c>
      <c r="Y24" s="37">
        <f t="shared" si="11"/>
        <v>0</v>
      </c>
      <c r="Z24" s="88"/>
      <c r="AA24" s="37">
        <f t="shared" si="26"/>
        <v>0</v>
      </c>
      <c r="AB24" s="150">
        <v>517.20000000000005</v>
      </c>
      <c r="AC24" s="37">
        <f t="shared" si="27"/>
        <v>32.325000000000003</v>
      </c>
      <c r="AD24" s="151">
        <f t="shared" si="5"/>
        <v>509.2</v>
      </c>
      <c r="AE24" s="82">
        <f>RCF!J$41</f>
        <v>31.823</v>
      </c>
    </row>
    <row r="25" spans="1:31" x14ac:dyDescent="0.2">
      <c r="A25" s="147" t="s">
        <v>18</v>
      </c>
      <c r="B25" s="148" t="s">
        <v>154</v>
      </c>
      <c r="C25" s="149">
        <v>15</v>
      </c>
      <c r="D25" s="88" t="s">
        <v>188</v>
      </c>
      <c r="E25" s="82" t="s">
        <v>188</v>
      </c>
      <c r="F25" s="150">
        <v>463.9</v>
      </c>
      <c r="G25" s="82">
        <f t="shared" si="22"/>
        <v>30.926666666666666</v>
      </c>
      <c r="H25" s="88">
        <v>478.5</v>
      </c>
      <c r="I25" s="37">
        <f t="shared" si="23"/>
        <v>31.9</v>
      </c>
      <c r="J25" s="82">
        <v>481.5</v>
      </c>
      <c r="K25" s="82">
        <f t="shared" si="7"/>
        <v>32.1</v>
      </c>
      <c r="L25" s="150">
        <v>438.8</v>
      </c>
      <c r="M25" s="37">
        <f t="shared" si="24"/>
        <v>29.253333333333334</v>
      </c>
      <c r="N25" s="88">
        <v>467.4</v>
      </c>
      <c r="O25" s="37">
        <f t="shared" si="25"/>
        <v>31.16</v>
      </c>
      <c r="P25" s="150">
        <v>487</v>
      </c>
      <c r="Q25" s="37">
        <f t="shared" si="8"/>
        <v>32.466666666666669</v>
      </c>
      <c r="R25" s="88">
        <v>479.3</v>
      </c>
      <c r="S25" s="37">
        <f t="shared" si="9"/>
        <v>31.953333333333333</v>
      </c>
      <c r="T25" s="150">
        <v>446</v>
      </c>
      <c r="U25" s="37">
        <f t="shared" si="10"/>
        <v>29.733333333333334</v>
      </c>
      <c r="V25" s="150">
        <v>494.1</v>
      </c>
      <c r="W25" s="37">
        <f t="shared" si="10"/>
        <v>32.940000000000005</v>
      </c>
      <c r="X25" s="88">
        <v>503</v>
      </c>
      <c r="Y25" s="37">
        <f t="shared" si="11"/>
        <v>33.533333333333331</v>
      </c>
      <c r="Z25" s="88"/>
      <c r="AA25" s="37">
        <f t="shared" si="26"/>
        <v>0</v>
      </c>
      <c r="AB25" s="150">
        <v>485.3</v>
      </c>
      <c r="AC25" s="37">
        <f t="shared" si="27"/>
        <v>32.353333333333332</v>
      </c>
      <c r="AD25" s="88">
        <v>482</v>
      </c>
      <c r="AE25" s="82">
        <f t="shared" ref="AE25:AE31" si="28">AD25/C25</f>
        <v>32.133333333333333</v>
      </c>
    </row>
    <row r="26" spans="1:31" x14ac:dyDescent="0.2">
      <c r="A26" s="147" t="s">
        <v>19</v>
      </c>
      <c r="B26" s="148" t="s">
        <v>155</v>
      </c>
      <c r="C26" s="149">
        <v>30</v>
      </c>
      <c r="D26" s="88" t="s">
        <v>188</v>
      </c>
      <c r="E26" s="82" t="s">
        <v>188</v>
      </c>
      <c r="F26" s="150">
        <v>463.9</v>
      </c>
      <c r="G26" s="82">
        <f t="shared" si="22"/>
        <v>15.463333333333333</v>
      </c>
      <c r="H26" s="88">
        <v>478.5</v>
      </c>
      <c r="I26" s="37">
        <f t="shared" si="23"/>
        <v>15.95</v>
      </c>
      <c r="J26" s="82">
        <v>481.5</v>
      </c>
      <c r="K26" s="82">
        <f t="shared" si="7"/>
        <v>16.05</v>
      </c>
      <c r="L26" s="150">
        <v>438.8</v>
      </c>
      <c r="M26" s="37">
        <f t="shared" si="24"/>
        <v>14.626666666666667</v>
      </c>
      <c r="N26" s="88">
        <v>467.4</v>
      </c>
      <c r="O26" s="37">
        <f t="shared" si="25"/>
        <v>15.58</v>
      </c>
      <c r="P26" s="150">
        <v>487</v>
      </c>
      <c r="Q26" s="37">
        <f t="shared" si="8"/>
        <v>16.233333333333334</v>
      </c>
      <c r="R26" s="88">
        <v>479.3</v>
      </c>
      <c r="S26" s="37">
        <f t="shared" si="9"/>
        <v>15.976666666666667</v>
      </c>
      <c r="T26" s="150">
        <v>446</v>
      </c>
      <c r="U26" s="37">
        <f t="shared" si="10"/>
        <v>14.866666666666667</v>
      </c>
      <c r="V26" s="150">
        <v>494.1</v>
      </c>
      <c r="W26" s="37">
        <f t="shared" si="10"/>
        <v>16.470000000000002</v>
      </c>
      <c r="X26" s="88">
        <v>503</v>
      </c>
      <c r="Y26" s="37">
        <f t="shared" si="11"/>
        <v>16.766666666666666</v>
      </c>
      <c r="Z26" s="88"/>
      <c r="AA26" s="37">
        <f t="shared" si="26"/>
        <v>0</v>
      </c>
      <c r="AB26" s="150">
        <v>485.3</v>
      </c>
      <c r="AC26" s="37">
        <f t="shared" si="27"/>
        <v>16.176666666666666</v>
      </c>
      <c r="AD26" s="88">
        <v>482</v>
      </c>
      <c r="AE26" s="82">
        <f t="shared" si="28"/>
        <v>16.066666666666666</v>
      </c>
    </row>
    <row r="27" spans="1:31" x14ac:dyDescent="0.2">
      <c r="A27" s="147" t="s">
        <v>23</v>
      </c>
      <c r="B27" s="148" t="s">
        <v>156</v>
      </c>
      <c r="C27" s="149">
        <v>45</v>
      </c>
      <c r="D27" s="88" t="s">
        <v>188</v>
      </c>
      <c r="E27" s="82" t="s">
        <v>188</v>
      </c>
      <c r="F27" s="150">
        <v>463.9</v>
      </c>
      <c r="G27" s="82">
        <f t="shared" si="22"/>
        <v>10.308888888888889</v>
      </c>
      <c r="H27" s="88">
        <v>478.5</v>
      </c>
      <c r="I27" s="37">
        <f t="shared" si="23"/>
        <v>10.633333333333333</v>
      </c>
      <c r="J27" s="82">
        <v>481.5</v>
      </c>
      <c r="K27" s="82">
        <f t="shared" si="7"/>
        <v>10.7</v>
      </c>
      <c r="L27" s="150">
        <v>438.8</v>
      </c>
      <c r="M27" s="37">
        <f t="shared" si="24"/>
        <v>9.7511111111111113</v>
      </c>
      <c r="N27" s="88">
        <v>467.4</v>
      </c>
      <c r="O27" s="37">
        <f t="shared" si="25"/>
        <v>10.386666666666667</v>
      </c>
      <c r="P27" s="150">
        <v>487</v>
      </c>
      <c r="Q27" s="37">
        <f t="shared" si="8"/>
        <v>10.822222222222223</v>
      </c>
      <c r="R27" s="88">
        <v>479.3</v>
      </c>
      <c r="S27" s="37">
        <f t="shared" si="9"/>
        <v>10.651111111111112</v>
      </c>
      <c r="T27" s="150">
        <v>446</v>
      </c>
      <c r="U27" s="37">
        <f t="shared" si="10"/>
        <v>9.9111111111111114</v>
      </c>
      <c r="V27" s="150">
        <v>494.1</v>
      </c>
      <c r="W27" s="37">
        <f t="shared" si="10"/>
        <v>10.98</v>
      </c>
      <c r="X27" s="88">
        <v>503</v>
      </c>
      <c r="Y27" s="37">
        <f t="shared" si="11"/>
        <v>11.177777777777777</v>
      </c>
      <c r="Z27" s="88"/>
      <c r="AA27" s="37">
        <f t="shared" si="26"/>
        <v>0</v>
      </c>
      <c r="AB27" s="150">
        <v>485.3</v>
      </c>
      <c r="AC27" s="37">
        <f t="shared" si="27"/>
        <v>10.784444444444444</v>
      </c>
      <c r="AD27" s="88">
        <v>482</v>
      </c>
      <c r="AE27" s="82">
        <f t="shared" si="28"/>
        <v>10.71111111111111</v>
      </c>
    </row>
    <row r="28" spans="1:31" x14ac:dyDescent="0.2">
      <c r="A28" s="147" t="s">
        <v>14</v>
      </c>
      <c r="B28" s="148" t="s">
        <v>157</v>
      </c>
      <c r="C28" s="149">
        <v>15</v>
      </c>
      <c r="D28" s="88" t="s">
        <v>188</v>
      </c>
      <c r="E28" s="82" t="s">
        <v>188</v>
      </c>
      <c r="F28" s="150">
        <v>463.9</v>
      </c>
      <c r="G28" s="82">
        <f t="shared" si="22"/>
        <v>30.926666666666666</v>
      </c>
      <c r="H28" s="88">
        <v>476.9</v>
      </c>
      <c r="I28" s="37">
        <f t="shared" si="23"/>
        <v>31.793333333333333</v>
      </c>
      <c r="J28" s="82">
        <v>481.5</v>
      </c>
      <c r="K28" s="82">
        <f t="shared" si="7"/>
        <v>32.1</v>
      </c>
      <c r="L28" s="150">
        <v>483.2</v>
      </c>
      <c r="M28" s="37">
        <f t="shared" si="24"/>
        <v>32.213333333333331</v>
      </c>
      <c r="N28" s="88">
        <v>514.5</v>
      </c>
      <c r="O28" s="37">
        <f t="shared" si="25"/>
        <v>34.299999999999997</v>
      </c>
      <c r="P28" s="150">
        <v>476.4</v>
      </c>
      <c r="Q28" s="37">
        <f t="shared" si="8"/>
        <v>31.759999999999998</v>
      </c>
      <c r="R28" s="88">
        <v>479.3</v>
      </c>
      <c r="S28" s="37">
        <f t="shared" si="9"/>
        <v>31.953333333333333</v>
      </c>
      <c r="T28" s="150">
        <v>446</v>
      </c>
      <c r="U28" s="37">
        <f t="shared" si="10"/>
        <v>29.733333333333334</v>
      </c>
      <c r="V28" s="150">
        <v>494.1</v>
      </c>
      <c r="W28" s="37">
        <f t="shared" si="10"/>
        <v>32.940000000000005</v>
      </c>
      <c r="X28" s="88">
        <v>518.5</v>
      </c>
      <c r="Y28" s="37">
        <f t="shared" si="11"/>
        <v>34.56666666666667</v>
      </c>
      <c r="Z28" s="88"/>
      <c r="AA28" s="37">
        <f t="shared" si="26"/>
        <v>0</v>
      </c>
      <c r="AB28" s="150">
        <v>485.3</v>
      </c>
      <c r="AC28" s="37">
        <f t="shared" si="27"/>
        <v>32.353333333333332</v>
      </c>
      <c r="AD28" s="88">
        <v>482</v>
      </c>
      <c r="AE28" s="82">
        <f t="shared" si="28"/>
        <v>32.133333333333333</v>
      </c>
    </row>
    <row r="29" spans="1:31" ht="25.5" x14ac:dyDescent="0.2">
      <c r="A29" s="147" t="s">
        <v>15</v>
      </c>
      <c r="B29" s="148" t="s">
        <v>158</v>
      </c>
      <c r="C29" s="149">
        <v>30</v>
      </c>
      <c r="D29" s="88" t="s">
        <v>188</v>
      </c>
      <c r="E29" s="82" t="s">
        <v>188</v>
      </c>
      <c r="F29" s="150">
        <v>463.9</v>
      </c>
      <c r="G29" s="82">
        <f t="shared" si="22"/>
        <v>15.463333333333333</v>
      </c>
      <c r="H29" s="88">
        <v>476.9</v>
      </c>
      <c r="I29" s="37">
        <f t="shared" si="23"/>
        <v>15.896666666666667</v>
      </c>
      <c r="J29" s="82">
        <v>481.5</v>
      </c>
      <c r="K29" s="82">
        <f t="shared" si="7"/>
        <v>16.05</v>
      </c>
      <c r="L29" s="150">
        <v>483.2</v>
      </c>
      <c r="M29" s="37">
        <f t="shared" si="24"/>
        <v>16.106666666666666</v>
      </c>
      <c r="N29" s="88">
        <v>514.5</v>
      </c>
      <c r="O29" s="37">
        <f t="shared" si="25"/>
        <v>17.149999999999999</v>
      </c>
      <c r="P29" s="150">
        <v>476.4</v>
      </c>
      <c r="Q29" s="37">
        <f t="shared" si="8"/>
        <v>15.879999999999999</v>
      </c>
      <c r="R29" s="88">
        <v>479.3</v>
      </c>
      <c r="S29" s="37">
        <f t="shared" si="9"/>
        <v>15.976666666666667</v>
      </c>
      <c r="T29" s="150">
        <v>446</v>
      </c>
      <c r="U29" s="37">
        <f t="shared" si="10"/>
        <v>14.866666666666667</v>
      </c>
      <c r="V29" s="150">
        <v>494.1</v>
      </c>
      <c r="W29" s="37">
        <f t="shared" si="10"/>
        <v>16.470000000000002</v>
      </c>
      <c r="X29" s="88">
        <v>518.5</v>
      </c>
      <c r="Y29" s="37">
        <f t="shared" si="11"/>
        <v>17.283333333333335</v>
      </c>
      <c r="Z29" s="88"/>
      <c r="AA29" s="37">
        <f t="shared" si="26"/>
        <v>0</v>
      </c>
      <c r="AB29" s="150">
        <v>485.3</v>
      </c>
      <c r="AC29" s="37">
        <f t="shared" si="27"/>
        <v>16.176666666666666</v>
      </c>
      <c r="AD29" s="88">
        <v>482</v>
      </c>
      <c r="AE29" s="82">
        <f t="shared" si="28"/>
        <v>16.066666666666666</v>
      </c>
    </row>
    <row r="30" spans="1:31" x14ac:dyDescent="0.2">
      <c r="A30" s="147" t="s">
        <v>16</v>
      </c>
      <c r="B30" s="148" t="s">
        <v>159</v>
      </c>
      <c r="C30" s="149">
        <v>45</v>
      </c>
      <c r="D30" s="88" t="s">
        <v>188</v>
      </c>
      <c r="E30" s="82" t="s">
        <v>188</v>
      </c>
      <c r="F30" s="150">
        <v>463.9</v>
      </c>
      <c r="G30" s="82">
        <f t="shared" si="22"/>
        <v>10.308888888888889</v>
      </c>
      <c r="H30" s="88">
        <v>476.9</v>
      </c>
      <c r="I30" s="37">
        <f t="shared" si="23"/>
        <v>10.597777777777777</v>
      </c>
      <c r="J30" s="82">
        <v>481.5</v>
      </c>
      <c r="K30" s="82">
        <f t="shared" si="7"/>
        <v>10.7</v>
      </c>
      <c r="L30" s="150">
        <v>483.2</v>
      </c>
      <c r="M30" s="37">
        <f t="shared" si="24"/>
        <v>10.737777777777778</v>
      </c>
      <c r="N30" s="88">
        <v>514.5</v>
      </c>
      <c r="O30" s="37">
        <f t="shared" si="25"/>
        <v>11.433333333333334</v>
      </c>
      <c r="P30" s="150">
        <v>476.4</v>
      </c>
      <c r="Q30" s="37">
        <f t="shared" si="8"/>
        <v>10.586666666666666</v>
      </c>
      <c r="R30" s="88">
        <v>479.3</v>
      </c>
      <c r="S30" s="37">
        <f t="shared" si="9"/>
        <v>10.651111111111112</v>
      </c>
      <c r="T30" s="150">
        <v>446</v>
      </c>
      <c r="U30" s="37">
        <f t="shared" si="10"/>
        <v>9.9111111111111114</v>
      </c>
      <c r="V30" s="150">
        <v>494.1</v>
      </c>
      <c r="W30" s="37">
        <f t="shared" si="10"/>
        <v>10.98</v>
      </c>
      <c r="X30" s="88">
        <v>518.5</v>
      </c>
      <c r="Y30" s="37">
        <f t="shared" si="11"/>
        <v>11.522222222222222</v>
      </c>
      <c r="Z30" s="88"/>
      <c r="AA30" s="37">
        <f t="shared" si="26"/>
        <v>0</v>
      </c>
      <c r="AB30" s="150">
        <v>485.3</v>
      </c>
      <c r="AC30" s="37">
        <f t="shared" si="27"/>
        <v>10.784444444444444</v>
      </c>
      <c r="AD30" s="88">
        <v>482</v>
      </c>
      <c r="AE30" s="82">
        <f t="shared" si="28"/>
        <v>10.71111111111111</v>
      </c>
    </row>
    <row r="31" spans="1:31" s="139" customFormat="1" x14ac:dyDescent="0.2">
      <c r="A31" s="156" t="s">
        <v>133</v>
      </c>
      <c r="B31" s="157" t="s">
        <v>160</v>
      </c>
      <c r="C31" s="158">
        <v>63.6</v>
      </c>
      <c r="D31" s="88" t="s">
        <v>188</v>
      </c>
      <c r="E31" s="82" t="s">
        <v>188</v>
      </c>
      <c r="F31" s="152">
        <v>463.9</v>
      </c>
      <c r="G31" s="138">
        <f t="shared" si="22"/>
        <v>7.2940251572327037</v>
      </c>
      <c r="H31" s="137">
        <v>476.9</v>
      </c>
      <c r="I31" s="153">
        <f t="shared" ref="I31" si="29">H31/C31</f>
        <v>7.498427672955974</v>
      </c>
      <c r="J31" s="138">
        <v>0</v>
      </c>
      <c r="K31" s="138">
        <f t="shared" ref="K31" si="30">J31/C31</f>
        <v>0</v>
      </c>
      <c r="L31" s="152">
        <v>483.2</v>
      </c>
      <c r="M31" s="153">
        <f t="shared" ref="M31" si="31">L31/C31</f>
        <v>7.5974842767295598</v>
      </c>
      <c r="N31" s="137">
        <v>514.5</v>
      </c>
      <c r="O31" s="153">
        <f t="shared" ref="O31" si="32">N31/C31</f>
        <v>8.0896226415094343</v>
      </c>
      <c r="P31" s="152">
        <v>2065</v>
      </c>
      <c r="Q31" s="37">
        <f t="shared" si="8"/>
        <v>32.468553459119498</v>
      </c>
      <c r="R31" s="137">
        <v>0</v>
      </c>
      <c r="S31" s="153">
        <f t="shared" ref="S31:S32" si="33">R31/C31</f>
        <v>0</v>
      </c>
      <c r="T31" s="150">
        <v>446</v>
      </c>
      <c r="U31" s="37">
        <f t="shared" si="10"/>
        <v>7.0125786163522008</v>
      </c>
      <c r="V31" s="152">
        <v>494.1</v>
      </c>
      <c r="W31" s="153">
        <f t="shared" ref="W31" si="34">V31/$C31</f>
        <v>7.7688679245283021</v>
      </c>
      <c r="X31" s="88"/>
      <c r="Y31" s="37">
        <f t="shared" si="11"/>
        <v>0</v>
      </c>
      <c r="Z31" s="137"/>
      <c r="AA31" s="153">
        <f t="shared" si="26"/>
        <v>0</v>
      </c>
      <c r="AB31" s="150">
        <v>0</v>
      </c>
      <c r="AC31" s="153">
        <f t="shared" si="27"/>
        <v>0</v>
      </c>
      <c r="AD31" s="137">
        <v>0</v>
      </c>
      <c r="AE31" s="138">
        <f t="shared" si="28"/>
        <v>0</v>
      </c>
    </row>
    <row r="32" spans="1:31" x14ac:dyDescent="0.2">
      <c r="A32" s="147" t="s">
        <v>13</v>
      </c>
      <c r="B32" s="159" t="s">
        <v>69</v>
      </c>
      <c r="C32" s="149">
        <v>21.43</v>
      </c>
      <c r="D32" s="88" t="s">
        <v>188</v>
      </c>
      <c r="E32" s="82" t="s">
        <v>188</v>
      </c>
      <c r="F32" s="150">
        <v>591.1</v>
      </c>
      <c r="G32" s="82">
        <f t="shared" si="22"/>
        <v>27.582827811479238</v>
      </c>
      <c r="H32" s="88">
        <v>476.9</v>
      </c>
      <c r="I32" s="37">
        <f t="shared" si="23"/>
        <v>22.253849743350443</v>
      </c>
      <c r="J32" s="82">
        <v>613.4</v>
      </c>
      <c r="K32" s="82">
        <f t="shared" si="7"/>
        <v>28.623425104993</v>
      </c>
      <c r="L32" s="150">
        <v>558.9</v>
      </c>
      <c r="M32" s="37">
        <f t="shared" si="24"/>
        <v>26.080261315912271</v>
      </c>
      <c r="N32" s="160">
        <v>595.29999999999995</v>
      </c>
      <c r="O32" s="37">
        <f t="shared" si="25"/>
        <v>27.778814745683619</v>
      </c>
      <c r="P32" s="88">
        <v>625.20000000000005</v>
      </c>
      <c r="Q32" s="37">
        <f t="shared" si="8"/>
        <v>29.174055062995802</v>
      </c>
      <c r="R32" s="88">
        <v>610.70000000000005</v>
      </c>
      <c r="S32" s="37">
        <f t="shared" si="33"/>
        <v>28.49743350443304</v>
      </c>
      <c r="T32" s="150">
        <v>568.4</v>
      </c>
      <c r="U32" s="37">
        <f t="shared" si="10"/>
        <v>26.523565095660288</v>
      </c>
      <c r="V32" s="150">
        <v>630.29999999999995</v>
      </c>
      <c r="W32" s="37">
        <f t="shared" si="10"/>
        <v>29.412039197386839</v>
      </c>
      <c r="X32" s="88">
        <v>640.70000000000005</v>
      </c>
      <c r="Y32" s="37">
        <f t="shared" si="11"/>
        <v>29.897340177321514</v>
      </c>
      <c r="Z32" s="88"/>
      <c r="AA32" s="37">
        <f t="shared" si="26"/>
        <v>0</v>
      </c>
      <c r="AB32" s="150">
        <v>618.29999999999995</v>
      </c>
      <c r="AC32" s="37">
        <f t="shared" si="27"/>
        <v>28.85207652823145</v>
      </c>
      <c r="AD32" s="151">
        <f>ROUND(AE32*C32,1)</f>
        <v>682</v>
      </c>
      <c r="AE32" s="82">
        <f>RCF!J$41</f>
        <v>31.823</v>
      </c>
    </row>
    <row r="33" spans="1:31" x14ac:dyDescent="0.2">
      <c r="A33" s="161"/>
      <c r="B33" s="162"/>
      <c r="C33" s="163"/>
      <c r="D33" s="164"/>
      <c r="E33" s="39"/>
      <c r="F33" s="38"/>
      <c r="G33" s="39"/>
      <c r="H33" s="164"/>
      <c r="I33" s="165"/>
      <c r="J33" s="39"/>
      <c r="K33" s="39"/>
      <c r="L33" s="164"/>
      <c r="M33" s="165"/>
      <c r="N33" s="164"/>
      <c r="O33" s="165"/>
      <c r="P33" s="164"/>
      <c r="Q33" s="165"/>
      <c r="R33" s="164"/>
      <c r="S33" s="165"/>
      <c r="T33" s="166"/>
      <c r="U33" s="165"/>
      <c r="V33" s="166"/>
      <c r="W33" s="165"/>
      <c r="X33" s="164"/>
      <c r="Y33" s="165"/>
      <c r="Z33" s="164"/>
      <c r="AA33" s="165"/>
      <c r="AB33" s="229"/>
      <c r="AC33" s="165"/>
      <c r="AD33" s="38"/>
      <c r="AE33" s="39"/>
    </row>
    <row r="34" spans="1:31" s="40" customFormat="1" x14ac:dyDescent="0.2">
      <c r="A34" s="167"/>
      <c r="B34" s="168" t="s">
        <v>4</v>
      </c>
      <c r="C34" s="169"/>
      <c r="D34" s="170"/>
      <c r="E34" s="171"/>
      <c r="F34" s="23"/>
      <c r="G34" s="171"/>
      <c r="H34" s="172"/>
      <c r="I34" s="173"/>
      <c r="J34" s="171"/>
      <c r="K34" s="171"/>
      <c r="L34" s="174"/>
      <c r="M34" s="173"/>
      <c r="N34" s="174"/>
      <c r="O34" s="175"/>
      <c r="P34" s="172"/>
      <c r="Q34" s="173"/>
      <c r="R34" s="172"/>
      <c r="S34" s="173"/>
      <c r="T34" s="23"/>
      <c r="U34" s="173"/>
      <c r="V34" s="23"/>
      <c r="W34" s="173"/>
      <c r="X34" s="172"/>
      <c r="Y34" s="173"/>
      <c r="Z34" s="172"/>
      <c r="AA34" s="173"/>
      <c r="AB34" s="172"/>
      <c r="AC34" s="173"/>
      <c r="AD34" s="171"/>
      <c r="AE34" s="176"/>
    </row>
    <row r="35" spans="1:31" s="40" customFormat="1" x14ac:dyDescent="0.2">
      <c r="A35" s="177"/>
      <c r="B35" s="178"/>
      <c r="C35" s="179"/>
      <c r="D35" s="180"/>
      <c r="E35" s="41"/>
      <c r="F35" s="30"/>
      <c r="G35" s="41"/>
      <c r="H35" s="30"/>
      <c r="I35" s="41"/>
      <c r="J35" s="41"/>
      <c r="K35" s="41"/>
      <c r="L35" s="181"/>
      <c r="M35" s="182"/>
      <c r="N35" s="181"/>
      <c r="O35" s="182"/>
      <c r="P35" s="30"/>
      <c r="Q35" s="41"/>
      <c r="R35" s="235"/>
      <c r="S35" s="182"/>
      <c r="T35" s="30"/>
      <c r="U35" s="41"/>
      <c r="V35" s="30"/>
      <c r="W35" s="41"/>
      <c r="X35" s="30"/>
      <c r="Y35" s="41"/>
      <c r="Z35" s="30"/>
      <c r="AA35" s="41"/>
      <c r="AB35" s="30"/>
      <c r="AC35" s="41"/>
      <c r="AD35" s="30"/>
      <c r="AE35" s="41"/>
    </row>
    <row r="36" spans="1:31" s="40" customFormat="1" x14ac:dyDescent="0.2">
      <c r="A36" s="147" t="s">
        <v>27</v>
      </c>
      <c r="B36" s="148" t="s">
        <v>40</v>
      </c>
      <c r="C36" s="149">
        <v>10</v>
      </c>
      <c r="D36" s="88" t="s">
        <v>188</v>
      </c>
      <c r="E36" s="82" t="s">
        <v>188</v>
      </c>
      <c r="F36" s="88">
        <f t="shared" ref="F36:F65" si="35">ROUND(G36*$C36,1)</f>
        <v>175.8</v>
      </c>
      <c r="G36" s="82">
        <f>RCF!C$5</f>
        <v>17.577000000000002</v>
      </c>
      <c r="H36" s="88">
        <f t="shared" ref="H36:H65" si="36">ROUNDDOWN(I36*C36,1)</f>
        <v>178.6</v>
      </c>
      <c r="I36" s="37">
        <f>RCF!C$37</f>
        <v>17.86</v>
      </c>
      <c r="J36" s="88">
        <f t="shared" ref="J36:J65" si="37">ROUNDDOWN(C36*K36,1)</f>
        <v>176.6</v>
      </c>
      <c r="K36" s="37">
        <f>RCF!C$7</f>
        <v>17.66</v>
      </c>
      <c r="L36" s="88">
        <f t="shared" ref="L36:L66" si="38">ROUND(M36*$C36,1)</f>
        <v>170.3</v>
      </c>
      <c r="M36" s="37">
        <f>RCF!C$9</f>
        <v>17.033999999999999</v>
      </c>
      <c r="N36" s="88">
        <f t="shared" ref="N36:N66" si="39">ROUND(O36*$C36,1)</f>
        <v>172.8</v>
      </c>
      <c r="O36" s="37">
        <f>RCF!C$11</f>
        <v>17.276</v>
      </c>
      <c r="P36" s="88">
        <f t="shared" ref="P36:P82" si="40">ROUNDDOWN(Q36*C36,1)</f>
        <v>180.7</v>
      </c>
      <c r="Q36" s="37">
        <f>RCF!C$64</f>
        <v>18.07</v>
      </c>
      <c r="R36" s="150">
        <f t="shared" ref="R36:R65" si="41">ROUNDDOWN(C36*S36,1)</f>
        <v>164.8</v>
      </c>
      <c r="S36" s="37">
        <f>RCF!C$13</f>
        <v>16.48</v>
      </c>
      <c r="T36" s="88">
        <f t="shared" ref="T36:T66" si="42">ROUND(U36*C36,1)</f>
        <v>164.1</v>
      </c>
      <c r="U36" s="37">
        <f>RCF!C$22</f>
        <v>16.41</v>
      </c>
      <c r="V36" s="88">
        <f t="shared" ref="V36:V65" si="43">ROUND(W36*C36,1)</f>
        <v>182.1</v>
      </c>
      <c r="W36" s="37">
        <f>RCF!C$26</f>
        <v>18.209999999999997</v>
      </c>
      <c r="X36" s="88">
        <f t="shared" ref="X36:X65" si="44">ROUNDDOWN(Y36*C36,1)</f>
        <v>185.1</v>
      </c>
      <c r="Y36" s="37">
        <f>RCF!C$33</f>
        <v>18.513999999999999</v>
      </c>
      <c r="Z36" s="88">
        <f t="shared" ref="Z36:Z65" si="45">ROUNDDOWN(AA36*C36,1)</f>
        <v>183.2</v>
      </c>
      <c r="AA36" s="37">
        <f>RCF!C$39</f>
        <v>18.323333333333334</v>
      </c>
      <c r="AB36" s="88">
        <f t="shared" ref="AB36:AB65" si="46">ROUNDDOWN(C36*AC36,1)</f>
        <v>173</v>
      </c>
      <c r="AC36" s="37">
        <f>RCF!C$35</f>
        <v>17.306666666666668</v>
      </c>
      <c r="AD36" s="88">
        <f t="shared" ref="AD36:AD65" si="47">ROUND(AE36*C36,1)</f>
        <v>175.8</v>
      </c>
      <c r="AE36" s="82">
        <f>RCF!C$41</f>
        <v>17.579000000000001</v>
      </c>
    </row>
    <row r="37" spans="1:31" s="40" customFormat="1" ht="25.5" x14ac:dyDescent="0.2">
      <c r="A37" s="147" t="s">
        <v>43</v>
      </c>
      <c r="B37" s="148" t="s">
        <v>189</v>
      </c>
      <c r="C37" s="149">
        <v>3.25</v>
      </c>
      <c r="D37" s="88" t="s">
        <v>188</v>
      </c>
      <c r="E37" s="82" t="s">
        <v>188</v>
      </c>
      <c r="F37" s="88">
        <f t="shared" si="35"/>
        <v>57.1</v>
      </c>
      <c r="G37" s="82">
        <f>RCF!C$5</f>
        <v>17.577000000000002</v>
      </c>
      <c r="H37" s="88">
        <f t="shared" si="36"/>
        <v>58</v>
      </c>
      <c r="I37" s="37">
        <f>RCF!C$37</f>
        <v>17.86</v>
      </c>
      <c r="J37" s="88">
        <f t="shared" si="37"/>
        <v>57.3</v>
      </c>
      <c r="K37" s="37">
        <f>RCF!C$7</f>
        <v>17.66</v>
      </c>
      <c r="L37" s="88">
        <f t="shared" si="38"/>
        <v>55.4</v>
      </c>
      <c r="M37" s="37">
        <f>RCF!C$9</f>
        <v>17.033999999999999</v>
      </c>
      <c r="N37" s="88">
        <f t="shared" si="39"/>
        <v>56.1</v>
      </c>
      <c r="O37" s="37">
        <f>RCF!C$11</f>
        <v>17.276</v>
      </c>
      <c r="P37" s="88">
        <f t="shared" si="40"/>
        <v>58.7</v>
      </c>
      <c r="Q37" s="37">
        <f>RCF!C$64</f>
        <v>18.07</v>
      </c>
      <c r="R37" s="150">
        <f t="shared" si="41"/>
        <v>53.5</v>
      </c>
      <c r="S37" s="37">
        <f>RCF!C$13</f>
        <v>16.48</v>
      </c>
      <c r="T37" s="88">
        <f t="shared" si="42"/>
        <v>53.3</v>
      </c>
      <c r="U37" s="37">
        <f>RCF!C$22</f>
        <v>16.41</v>
      </c>
      <c r="V37" s="88">
        <f t="shared" si="43"/>
        <v>59.2</v>
      </c>
      <c r="W37" s="37">
        <f>RCF!C$26</f>
        <v>18.209999999999997</v>
      </c>
      <c r="X37" s="88">
        <f t="shared" si="44"/>
        <v>60.1</v>
      </c>
      <c r="Y37" s="37">
        <f>RCF!C$33</f>
        <v>18.513999999999999</v>
      </c>
      <c r="Z37" s="88">
        <f t="shared" si="45"/>
        <v>59.5</v>
      </c>
      <c r="AA37" s="37">
        <f>RCF!C$39</f>
        <v>18.323333333333334</v>
      </c>
      <c r="AB37" s="88">
        <f t="shared" si="46"/>
        <v>56.2</v>
      </c>
      <c r="AC37" s="37">
        <f>RCF!C$35</f>
        <v>17.306666666666668</v>
      </c>
      <c r="AD37" s="88">
        <f t="shared" si="47"/>
        <v>57.1</v>
      </c>
      <c r="AE37" s="82">
        <f>RCF!C$41</f>
        <v>17.579000000000001</v>
      </c>
    </row>
    <row r="38" spans="1:31" s="40" customFormat="1" ht="25.5" x14ac:dyDescent="0.2">
      <c r="A38" s="147" t="s">
        <v>190</v>
      </c>
      <c r="B38" s="148" t="s">
        <v>191</v>
      </c>
      <c r="C38" s="149">
        <v>1.9</v>
      </c>
      <c r="D38" s="88" t="s">
        <v>188</v>
      </c>
      <c r="E38" s="82" t="s">
        <v>188</v>
      </c>
      <c r="F38" s="88">
        <f t="shared" si="35"/>
        <v>33.4</v>
      </c>
      <c r="G38" s="82">
        <f>RCF!C$5</f>
        <v>17.577000000000002</v>
      </c>
      <c r="H38" s="88">
        <f t="shared" si="36"/>
        <v>33.9</v>
      </c>
      <c r="I38" s="37">
        <f>RCF!C$37</f>
        <v>17.86</v>
      </c>
      <c r="J38" s="88">
        <f t="shared" si="37"/>
        <v>33.5</v>
      </c>
      <c r="K38" s="37">
        <f>RCF!C$7</f>
        <v>17.66</v>
      </c>
      <c r="L38" s="88">
        <f t="shared" si="38"/>
        <v>32.4</v>
      </c>
      <c r="M38" s="37">
        <f>RCF!C$9</f>
        <v>17.033999999999999</v>
      </c>
      <c r="N38" s="88">
        <f t="shared" si="39"/>
        <v>32.799999999999997</v>
      </c>
      <c r="O38" s="37">
        <f>RCF!C$11</f>
        <v>17.276</v>
      </c>
      <c r="P38" s="88">
        <f t="shared" si="40"/>
        <v>34.299999999999997</v>
      </c>
      <c r="Q38" s="37">
        <f>RCF!C$64</f>
        <v>18.07</v>
      </c>
      <c r="R38" s="150">
        <f t="shared" si="41"/>
        <v>31.3</v>
      </c>
      <c r="S38" s="37">
        <f>RCF!C$13</f>
        <v>16.48</v>
      </c>
      <c r="T38" s="88">
        <f t="shared" si="42"/>
        <v>31.2</v>
      </c>
      <c r="U38" s="37">
        <f>RCF!C$22</f>
        <v>16.41</v>
      </c>
      <c r="V38" s="88">
        <f t="shared" si="43"/>
        <v>34.6</v>
      </c>
      <c r="W38" s="37">
        <f>RCF!C$26</f>
        <v>18.209999999999997</v>
      </c>
      <c r="X38" s="88">
        <f t="shared" si="44"/>
        <v>35.1</v>
      </c>
      <c r="Y38" s="37">
        <f>RCF!C$33</f>
        <v>18.513999999999999</v>
      </c>
      <c r="Z38" s="88">
        <f t="shared" si="45"/>
        <v>34.799999999999997</v>
      </c>
      <c r="AA38" s="37">
        <f>RCF!C$39</f>
        <v>18.323333333333334</v>
      </c>
      <c r="AB38" s="88">
        <f t="shared" si="46"/>
        <v>32.799999999999997</v>
      </c>
      <c r="AC38" s="37">
        <f>RCF!C$35</f>
        <v>17.306666666666668</v>
      </c>
      <c r="AD38" s="88">
        <f t="shared" si="47"/>
        <v>33.4</v>
      </c>
      <c r="AE38" s="82">
        <f>RCF!C$41</f>
        <v>17.579000000000001</v>
      </c>
    </row>
    <row r="39" spans="1:31" s="40" customFormat="1" x14ac:dyDescent="0.2">
      <c r="A39" s="147" t="s">
        <v>44</v>
      </c>
      <c r="B39" s="148" t="s">
        <v>192</v>
      </c>
      <c r="C39" s="149">
        <v>6</v>
      </c>
      <c r="D39" s="88" t="s">
        <v>188</v>
      </c>
      <c r="E39" s="82" t="s">
        <v>188</v>
      </c>
      <c r="F39" s="88">
        <f t="shared" si="35"/>
        <v>105.5</v>
      </c>
      <c r="G39" s="82">
        <f>RCF!C$5</f>
        <v>17.577000000000002</v>
      </c>
      <c r="H39" s="88">
        <f t="shared" si="36"/>
        <v>107.1</v>
      </c>
      <c r="I39" s="37">
        <f>RCF!C$37</f>
        <v>17.86</v>
      </c>
      <c r="J39" s="88">
        <f t="shared" si="37"/>
        <v>105.9</v>
      </c>
      <c r="K39" s="37">
        <f>RCF!C$7</f>
        <v>17.66</v>
      </c>
      <c r="L39" s="88">
        <f t="shared" si="38"/>
        <v>102.2</v>
      </c>
      <c r="M39" s="37">
        <f>RCF!C$9</f>
        <v>17.033999999999999</v>
      </c>
      <c r="N39" s="88">
        <f t="shared" si="39"/>
        <v>103.7</v>
      </c>
      <c r="O39" s="37">
        <f>RCF!C$11</f>
        <v>17.276</v>
      </c>
      <c r="P39" s="88">
        <f t="shared" si="40"/>
        <v>108.4</v>
      </c>
      <c r="Q39" s="37">
        <f>RCF!C$64</f>
        <v>18.07</v>
      </c>
      <c r="R39" s="150">
        <f t="shared" si="41"/>
        <v>98.8</v>
      </c>
      <c r="S39" s="37">
        <f>RCF!C$13</f>
        <v>16.48</v>
      </c>
      <c r="T39" s="88">
        <f t="shared" si="42"/>
        <v>98.5</v>
      </c>
      <c r="U39" s="37">
        <f>RCF!C$22</f>
        <v>16.41</v>
      </c>
      <c r="V39" s="88">
        <f t="shared" si="43"/>
        <v>109.3</v>
      </c>
      <c r="W39" s="37">
        <f>RCF!C$26</f>
        <v>18.209999999999997</v>
      </c>
      <c r="X39" s="88">
        <f t="shared" si="44"/>
        <v>111</v>
      </c>
      <c r="Y39" s="37">
        <f>RCF!C$33</f>
        <v>18.513999999999999</v>
      </c>
      <c r="Z39" s="88">
        <f t="shared" si="45"/>
        <v>109.9</v>
      </c>
      <c r="AA39" s="37">
        <f>RCF!C$39</f>
        <v>18.323333333333334</v>
      </c>
      <c r="AB39" s="88">
        <f t="shared" si="46"/>
        <v>103.8</v>
      </c>
      <c r="AC39" s="37">
        <f>RCF!C$35</f>
        <v>17.306666666666668</v>
      </c>
      <c r="AD39" s="88">
        <f t="shared" si="47"/>
        <v>105.5</v>
      </c>
      <c r="AE39" s="82">
        <f>RCF!C$41</f>
        <v>17.579000000000001</v>
      </c>
    </row>
    <row r="40" spans="1:31" s="40" customFormat="1" x14ac:dyDescent="0.2">
      <c r="A40" s="147" t="s">
        <v>45</v>
      </c>
      <c r="B40" s="148" t="s">
        <v>193</v>
      </c>
      <c r="C40" s="149">
        <v>3</v>
      </c>
      <c r="D40" s="88" t="s">
        <v>188</v>
      </c>
      <c r="E40" s="82" t="s">
        <v>188</v>
      </c>
      <c r="F40" s="88">
        <f t="shared" si="35"/>
        <v>52.7</v>
      </c>
      <c r="G40" s="82">
        <f>RCF!C$5</f>
        <v>17.577000000000002</v>
      </c>
      <c r="H40" s="88">
        <f t="shared" si="36"/>
        <v>53.5</v>
      </c>
      <c r="I40" s="37">
        <f>RCF!C$37</f>
        <v>17.86</v>
      </c>
      <c r="J40" s="88">
        <f t="shared" si="37"/>
        <v>52.9</v>
      </c>
      <c r="K40" s="37">
        <f>RCF!C$7</f>
        <v>17.66</v>
      </c>
      <c r="L40" s="88">
        <f t="shared" si="38"/>
        <v>51.1</v>
      </c>
      <c r="M40" s="37">
        <f>RCF!C$9</f>
        <v>17.033999999999999</v>
      </c>
      <c r="N40" s="88">
        <f t="shared" si="39"/>
        <v>51.8</v>
      </c>
      <c r="O40" s="37">
        <f>RCF!C$11</f>
        <v>17.276</v>
      </c>
      <c r="P40" s="88">
        <f t="shared" si="40"/>
        <v>54.2</v>
      </c>
      <c r="Q40" s="37">
        <f>RCF!C$64</f>
        <v>18.07</v>
      </c>
      <c r="R40" s="150">
        <f t="shared" si="41"/>
        <v>49.4</v>
      </c>
      <c r="S40" s="37">
        <f>RCF!C$13</f>
        <v>16.48</v>
      </c>
      <c r="T40" s="88">
        <f t="shared" si="42"/>
        <v>49.2</v>
      </c>
      <c r="U40" s="37">
        <f>RCF!C$22</f>
        <v>16.41</v>
      </c>
      <c r="V40" s="88">
        <f t="shared" si="43"/>
        <v>54.6</v>
      </c>
      <c r="W40" s="37">
        <f>RCF!C$26</f>
        <v>18.209999999999997</v>
      </c>
      <c r="X40" s="88">
        <f t="shared" si="44"/>
        <v>55.5</v>
      </c>
      <c r="Y40" s="37">
        <f>RCF!C$33</f>
        <v>18.513999999999999</v>
      </c>
      <c r="Z40" s="88">
        <f t="shared" si="45"/>
        <v>54.9</v>
      </c>
      <c r="AA40" s="37">
        <f>RCF!C$39</f>
        <v>18.323333333333334</v>
      </c>
      <c r="AB40" s="88">
        <f t="shared" si="46"/>
        <v>51.9</v>
      </c>
      <c r="AC40" s="37">
        <f>RCF!C$35</f>
        <v>17.306666666666668</v>
      </c>
      <c r="AD40" s="88">
        <f t="shared" si="47"/>
        <v>52.7</v>
      </c>
      <c r="AE40" s="82">
        <f>RCF!C$41</f>
        <v>17.579000000000001</v>
      </c>
    </row>
    <row r="41" spans="1:31" s="40" customFormat="1" ht="25.5" x14ac:dyDescent="0.2">
      <c r="A41" s="147" t="s">
        <v>46</v>
      </c>
      <c r="B41" s="148" t="s">
        <v>194</v>
      </c>
      <c r="C41" s="149">
        <v>12</v>
      </c>
      <c r="D41" s="88" t="s">
        <v>188</v>
      </c>
      <c r="E41" s="82" t="s">
        <v>188</v>
      </c>
      <c r="F41" s="88">
        <f t="shared" si="35"/>
        <v>210.9</v>
      </c>
      <c r="G41" s="82">
        <f>RCF!C$5</f>
        <v>17.577000000000002</v>
      </c>
      <c r="H41" s="88">
        <f t="shared" si="36"/>
        <v>214.3</v>
      </c>
      <c r="I41" s="37">
        <f>RCF!C$37</f>
        <v>17.86</v>
      </c>
      <c r="J41" s="88">
        <f t="shared" si="37"/>
        <v>211.9</v>
      </c>
      <c r="K41" s="37">
        <f>RCF!C$7</f>
        <v>17.66</v>
      </c>
      <c r="L41" s="88">
        <f t="shared" si="38"/>
        <v>204.4</v>
      </c>
      <c r="M41" s="37">
        <f>RCF!C$9</f>
        <v>17.033999999999999</v>
      </c>
      <c r="N41" s="88">
        <f t="shared" si="39"/>
        <v>207.3</v>
      </c>
      <c r="O41" s="37">
        <f>RCF!C$11</f>
        <v>17.276</v>
      </c>
      <c r="P41" s="88">
        <f t="shared" si="40"/>
        <v>216.8</v>
      </c>
      <c r="Q41" s="37">
        <f>RCF!C$64</f>
        <v>18.07</v>
      </c>
      <c r="R41" s="150">
        <f t="shared" si="41"/>
        <v>197.7</v>
      </c>
      <c r="S41" s="37">
        <f>RCF!C$13</f>
        <v>16.48</v>
      </c>
      <c r="T41" s="88">
        <f t="shared" si="42"/>
        <v>196.9</v>
      </c>
      <c r="U41" s="37">
        <f>RCF!C$22</f>
        <v>16.41</v>
      </c>
      <c r="V41" s="88">
        <f t="shared" si="43"/>
        <v>218.5</v>
      </c>
      <c r="W41" s="37">
        <f>RCF!C$26</f>
        <v>18.209999999999997</v>
      </c>
      <c r="X41" s="88">
        <f t="shared" si="44"/>
        <v>222.1</v>
      </c>
      <c r="Y41" s="37">
        <f>RCF!C$33</f>
        <v>18.513999999999999</v>
      </c>
      <c r="Z41" s="88">
        <f t="shared" si="45"/>
        <v>219.8</v>
      </c>
      <c r="AA41" s="37">
        <f>RCF!C$39</f>
        <v>18.323333333333334</v>
      </c>
      <c r="AB41" s="88">
        <f t="shared" si="46"/>
        <v>207.6</v>
      </c>
      <c r="AC41" s="37">
        <f>RCF!C$35</f>
        <v>17.306666666666668</v>
      </c>
      <c r="AD41" s="88">
        <f t="shared" si="47"/>
        <v>210.9</v>
      </c>
      <c r="AE41" s="82">
        <f>RCF!C$41</f>
        <v>17.579000000000001</v>
      </c>
    </row>
    <row r="42" spans="1:31" s="40" customFormat="1" ht="25.5" x14ac:dyDescent="0.2">
      <c r="A42" s="147" t="s">
        <v>47</v>
      </c>
      <c r="B42" s="148" t="s">
        <v>195</v>
      </c>
      <c r="C42" s="149">
        <v>14</v>
      </c>
      <c r="D42" s="88" t="s">
        <v>188</v>
      </c>
      <c r="E42" s="82" t="s">
        <v>188</v>
      </c>
      <c r="F42" s="88">
        <f t="shared" si="35"/>
        <v>246.1</v>
      </c>
      <c r="G42" s="82">
        <f>RCF!C$5</f>
        <v>17.577000000000002</v>
      </c>
      <c r="H42" s="88">
        <f t="shared" si="36"/>
        <v>250</v>
      </c>
      <c r="I42" s="37">
        <f>RCF!C$37</f>
        <v>17.86</v>
      </c>
      <c r="J42" s="88">
        <f t="shared" si="37"/>
        <v>247.2</v>
      </c>
      <c r="K42" s="37">
        <f>RCF!C$7</f>
        <v>17.66</v>
      </c>
      <c r="L42" s="88">
        <f t="shared" si="38"/>
        <v>238.5</v>
      </c>
      <c r="M42" s="37">
        <f>RCF!C$9</f>
        <v>17.033999999999999</v>
      </c>
      <c r="N42" s="88">
        <f t="shared" si="39"/>
        <v>241.9</v>
      </c>
      <c r="O42" s="37">
        <f>RCF!C$11</f>
        <v>17.276</v>
      </c>
      <c r="P42" s="88">
        <f t="shared" si="40"/>
        <v>252.9</v>
      </c>
      <c r="Q42" s="37">
        <f>RCF!C$64</f>
        <v>18.07</v>
      </c>
      <c r="R42" s="150">
        <f t="shared" si="41"/>
        <v>230.7</v>
      </c>
      <c r="S42" s="37">
        <f>RCF!C$13</f>
        <v>16.48</v>
      </c>
      <c r="T42" s="88">
        <f t="shared" si="42"/>
        <v>229.7</v>
      </c>
      <c r="U42" s="37">
        <f>RCF!C$22</f>
        <v>16.41</v>
      </c>
      <c r="V42" s="88">
        <f t="shared" si="43"/>
        <v>254.9</v>
      </c>
      <c r="W42" s="37">
        <f>RCF!C$26</f>
        <v>18.209999999999997</v>
      </c>
      <c r="X42" s="88">
        <f t="shared" si="44"/>
        <v>259.10000000000002</v>
      </c>
      <c r="Y42" s="37">
        <f>RCF!C$33</f>
        <v>18.513999999999999</v>
      </c>
      <c r="Z42" s="88">
        <f t="shared" si="45"/>
        <v>256.5</v>
      </c>
      <c r="AA42" s="37">
        <f>RCF!C$39</f>
        <v>18.323333333333334</v>
      </c>
      <c r="AB42" s="88">
        <f t="shared" si="46"/>
        <v>242.2</v>
      </c>
      <c r="AC42" s="37">
        <f>RCF!C$35</f>
        <v>17.306666666666668</v>
      </c>
      <c r="AD42" s="88">
        <f t="shared" si="47"/>
        <v>246.1</v>
      </c>
      <c r="AE42" s="82">
        <f>RCF!C$41</f>
        <v>17.579000000000001</v>
      </c>
    </row>
    <row r="43" spans="1:31" s="40" customFormat="1" x14ac:dyDescent="0.2">
      <c r="A43" s="147" t="s">
        <v>31</v>
      </c>
      <c r="B43" s="148" t="s">
        <v>36</v>
      </c>
      <c r="C43" s="149">
        <v>20</v>
      </c>
      <c r="D43" s="88" t="s">
        <v>188</v>
      </c>
      <c r="E43" s="82" t="s">
        <v>188</v>
      </c>
      <c r="F43" s="88">
        <f t="shared" si="35"/>
        <v>351.5</v>
      </c>
      <c r="G43" s="82">
        <f>RCF!C$5</f>
        <v>17.577000000000002</v>
      </c>
      <c r="H43" s="88">
        <f t="shared" si="36"/>
        <v>357.2</v>
      </c>
      <c r="I43" s="37">
        <f>RCF!C$37</f>
        <v>17.86</v>
      </c>
      <c r="J43" s="88">
        <f t="shared" si="37"/>
        <v>353.2</v>
      </c>
      <c r="K43" s="37">
        <f>RCF!C$7</f>
        <v>17.66</v>
      </c>
      <c r="L43" s="88">
        <f t="shared" si="38"/>
        <v>340.7</v>
      </c>
      <c r="M43" s="37">
        <f>RCF!C$9</f>
        <v>17.033999999999999</v>
      </c>
      <c r="N43" s="88">
        <f t="shared" si="39"/>
        <v>345.5</v>
      </c>
      <c r="O43" s="37">
        <f>RCF!C$11</f>
        <v>17.276</v>
      </c>
      <c r="P43" s="88">
        <f t="shared" si="40"/>
        <v>361.4</v>
      </c>
      <c r="Q43" s="37">
        <f>RCF!C$64</f>
        <v>18.07</v>
      </c>
      <c r="R43" s="150">
        <f t="shared" si="41"/>
        <v>329.6</v>
      </c>
      <c r="S43" s="37">
        <f>RCF!C$13</f>
        <v>16.48</v>
      </c>
      <c r="T43" s="88">
        <f t="shared" si="42"/>
        <v>328.2</v>
      </c>
      <c r="U43" s="37">
        <f>RCF!C$22</f>
        <v>16.41</v>
      </c>
      <c r="V43" s="88">
        <f t="shared" si="43"/>
        <v>364.2</v>
      </c>
      <c r="W43" s="37">
        <f>RCF!C$26</f>
        <v>18.209999999999997</v>
      </c>
      <c r="X43" s="88">
        <f t="shared" si="44"/>
        <v>370.2</v>
      </c>
      <c r="Y43" s="37">
        <f>RCF!C$33</f>
        <v>18.513999999999999</v>
      </c>
      <c r="Z43" s="88">
        <f t="shared" si="45"/>
        <v>366.4</v>
      </c>
      <c r="AA43" s="37">
        <f>RCF!C$39</f>
        <v>18.323333333333334</v>
      </c>
      <c r="AB43" s="88">
        <f t="shared" si="46"/>
        <v>346.1</v>
      </c>
      <c r="AC43" s="37">
        <f>RCF!C$35</f>
        <v>17.306666666666668</v>
      </c>
      <c r="AD43" s="88">
        <f t="shared" si="47"/>
        <v>351.6</v>
      </c>
      <c r="AE43" s="82">
        <f>RCF!C$41</f>
        <v>17.579000000000001</v>
      </c>
    </row>
    <row r="44" spans="1:31" s="40" customFormat="1" x14ac:dyDescent="0.2">
      <c r="A44" s="147" t="s">
        <v>196</v>
      </c>
      <c r="B44" s="148" t="s">
        <v>197</v>
      </c>
      <c r="C44" s="149">
        <v>43.44</v>
      </c>
      <c r="D44" s="88" t="s">
        <v>188</v>
      </c>
      <c r="E44" s="82" t="s">
        <v>188</v>
      </c>
      <c r="F44" s="88">
        <f t="shared" si="35"/>
        <v>763.5</v>
      </c>
      <c r="G44" s="82">
        <f>RCF!C$5</f>
        <v>17.577000000000002</v>
      </c>
      <c r="H44" s="88">
        <f t="shared" si="36"/>
        <v>775.8</v>
      </c>
      <c r="I44" s="37">
        <f>RCF!C$37</f>
        <v>17.86</v>
      </c>
      <c r="J44" s="88">
        <f t="shared" si="37"/>
        <v>767.1</v>
      </c>
      <c r="K44" s="37">
        <f>RCF!C$7</f>
        <v>17.66</v>
      </c>
      <c r="L44" s="88">
        <f t="shared" si="38"/>
        <v>740</v>
      </c>
      <c r="M44" s="37">
        <f>RCF!C$9</f>
        <v>17.033999999999999</v>
      </c>
      <c r="N44" s="88">
        <f t="shared" si="39"/>
        <v>750.5</v>
      </c>
      <c r="O44" s="37">
        <f>RCF!C$11</f>
        <v>17.276</v>
      </c>
      <c r="P44" s="88">
        <f t="shared" si="40"/>
        <v>784.9</v>
      </c>
      <c r="Q44" s="37">
        <f>RCF!C$64</f>
        <v>18.07</v>
      </c>
      <c r="R44" s="150">
        <f t="shared" si="41"/>
        <v>715.8</v>
      </c>
      <c r="S44" s="37">
        <f>RCF!C$13</f>
        <v>16.48</v>
      </c>
      <c r="T44" s="88">
        <f t="shared" si="42"/>
        <v>712.9</v>
      </c>
      <c r="U44" s="37">
        <f>RCF!C$22</f>
        <v>16.41</v>
      </c>
      <c r="V44" s="88">
        <f t="shared" si="43"/>
        <v>791</v>
      </c>
      <c r="W44" s="37">
        <f>RCF!C$26</f>
        <v>18.209999999999997</v>
      </c>
      <c r="X44" s="88">
        <f t="shared" si="44"/>
        <v>804.2</v>
      </c>
      <c r="Y44" s="37">
        <f>RCF!C$33</f>
        <v>18.513999999999999</v>
      </c>
      <c r="Z44" s="88">
        <f t="shared" si="45"/>
        <v>795.9</v>
      </c>
      <c r="AA44" s="37">
        <f>RCF!C$39</f>
        <v>18.323333333333334</v>
      </c>
      <c r="AB44" s="88">
        <f t="shared" si="46"/>
        <v>751.8</v>
      </c>
      <c r="AC44" s="37">
        <f>RCF!C$35</f>
        <v>17.306666666666668</v>
      </c>
      <c r="AD44" s="88">
        <f t="shared" si="47"/>
        <v>763.6</v>
      </c>
      <c r="AE44" s="82">
        <f>RCF!C$41</f>
        <v>17.579000000000001</v>
      </c>
    </row>
    <row r="45" spans="1:31" s="40" customFormat="1" ht="25.5" x14ac:dyDescent="0.2">
      <c r="A45" s="147" t="s">
        <v>30</v>
      </c>
      <c r="B45" s="148" t="s">
        <v>198</v>
      </c>
      <c r="C45" s="149">
        <v>14</v>
      </c>
      <c r="D45" s="88" t="s">
        <v>188</v>
      </c>
      <c r="E45" s="82" t="s">
        <v>188</v>
      </c>
      <c r="F45" s="88">
        <f t="shared" si="35"/>
        <v>246.1</v>
      </c>
      <c r="G45" s="82">
        <f>RCF!C$5</f>
        <v>17.577000000000002</v>
      </c>
      <c r="H45" s="88">
        <f t="shared" si="36"/>
        <v>250</v>
      </c>
      <c r="I45" s="37">
        <f>RCF!C$37</f>
        <v>17.86</v>
      </c>
      <c r="J45" s="88">
        <f t="shared" si="37"/>
        <v>247.2</v>
      </c>
      <c r="K45" s="37">
        <f>RCF!C$7</f>
        <v>17.66</v>
      </c>
      <c r="L45" s="88">
        <f t="shared" si="38"/>
        <v>238.5</v>
      </c>
      <c r="M45" s="37">
        <f>RCF!C$9</f>
        <v>17.033999999999999</v>
      </c>
      <c r="N45" s="88">
        <f t="shared" si="39"/>
        <v>241.9</v>
      </c>
      <c r="O45" s="37">
        <f>RCF!C$11</f>
        <v>17.276</v>
      </c>
      <c r="P45" s="88">
        <f t="shared" si="40"/>
        <v>252.9</v>
      </c>
      <c r="Q45" s="37">
        <f>RCF!C$64</f>
        <v>18.07</v>
      </c>
      <c r="R45" s="150">
        <f t="shared" si="41"/>
        <v>230.7</v>
      </c>
      <c r="S45" s="37">
        <f>RCF!C$13</f>
        <v>16.48</v>
      </c>
      <c r="T45" s="88">
        <f t="shared" si="42"/>
        <v>229.7</v>
      </c>
      <c r="U45" s="37">
        <f>RCF!C$22</f>
        <v>16.41</v>
      </c>
      <c r="V45" s="88">
        <f t="shared" si="43"/>
        <v>254.9</v>
      </c>
      <c r="W45" s="37">
        <f>RCF!C$26</f>
        <v>18.209999999999997</v>
      </c>
      <c r="X45" s="88">
        <f t="shared" si="44"/>
        <v>259.10000000000002</v>
      </c>
      <c r="Y45" s="37">
        <f>RCF!C$33</f>
        <v>18.513999999999999</v>
      </c>
      <c r="Z45" s="88">
        <f t="shared" si="45"/>
        <v>256.5</v>
      </c>
      <c r="AA45" s="37">
        <f>RCF!C$39</f>
        <v>18.323333333333334</v>
      </c>
      <c r="AB45" s="88">
        <f t="shared" si="46"/>
        <v>242.2</v>
      </c>
      <c r="AC45" s="37">
        <f>RCF!C$35</f>
        <v>17.306666666666668</v>
      </c>
      <c r="AD45" s="88">
        <f t="shared" si="47"/>
        <v>246.1</v>
      </c>
      <c r="AE45" s="82">
        <f>RCF!C$41</f>
        <v>17.579000000000001</v>
      </c>
    </row>
    <row r="46" spans="1:31" s="40" customFormat="1" ht="25.5" x14ac:dyDescent="0.2">
      <c r="A46" s="147" t="s">
        <v>28</v>
      </c>
      <c r="B46" s="148" t="s">
        <v>37</v>
      </c>
      <c r="C46" s="149">
        <v>27</v>
      </c>
      <c r="D46" s="88" t="s">
        <v>188</v>
      </c>
      <c r="E46" s="82" t="s">
        <v>188</v>
      </c>
      <c r="F46" s="88">
        <f t="shared" si="35"/>
        <v>474.6</v>
      </c>
      <c r="G46" s="82">
        <f>RCF!C$5</f>
        <v>17.577000000000002</v>
      </c>
      <c r="H46" s="88">
        <f t="shared" si="36"/>
        <v>482.2</v>
      </c>
      <c r="I46" s="37">
        <f>RCF!C$37</f>
        <v>17.86</v>
      </c>
      <c r="J46" s="88">
        <f t="shared" si="37"/>
        <v>476.8</v>
      </c>
      <c r="K46" s="37">
        <f>RCF!C$7</f>
        <v>17.66</v>
      </c>
      <c r="L46" s="88">
        <f t="shared" si="38"/>
        <v>459.9</v>
      </c>
      <c r="M46" s="37">
        <f>RCF!C$9</f>
        <v>17.033999999999999</v>
      </c>
      <c r="N46" s="88">
        <f t="shared" si="39"/>
        <v>466.5</v>
      </c>
      <c r="O46" s="37">
        <f>RCF!C$11</f>
        <v>17.276</v>
      </c>
      <c r="P46" s="88">
        <f t="shared" si="40"/>
        <v>487.8</v>
      </c>
      <c r="Q46" s="37">
        <f>RCF!C$64</f>
        <v>18.07</v>
      </c>
      <c r="R46" s="150">
        <f t="shared" si="41"/>
        <v>444.9</v>
      </c>
      <c r="S46" s="37">
        <f>RCF!C$13</f>
        <v>16.48</v>
      </c>
      <c r="T46" s="88">
        <f t="shared" si="42"/>
        <v>443.1</v>
      </c>
      <c r="U46" s="37">
        <f>RCF!C$22</f>
        <v>16.41</v>
      </c>
      <c r="V46" s="88">
        <f t="shared" si="43"/>
        <v>491.7</v>
      </c>
      <c r="W46" s="37">
        <f>RCF!C$26</f>
        <v>18.209999999999997</v>
      </c>
      <c r="X46" s="88">
        <f t="shared" si="44"/>
        <v>499.8</v>
      </c>
      <c r="Y46" s="37">
        <f>RCF!C$33</f>
        <v>18.513999999999999</v>
      </c>
      <c r="Z46" s="88">
        <f t="shared" si="45"/>
        <v>494.7</v>
      </c>
      <c r="AA46" s="37">
        <f>RCF!C$39</f>
        <v>18.323333333333334</v>
      </c>
      <c r="AB46" s="88">
        <f t="shared" si="46"/>
        <v>467.2</v>
      </c>
      <c r="AC46" s="37">
        <f>RCF!C$35</f>
        <v>17.306666666666668</v>
      </c>
      <c r="AD46" s="88">
        <f t="shared" si="47"/>
        <v>474.6</v>
      </c>
      <c r="AE46" s="82">
        <f>RCF!C$41</f>
        <v>17.579000000000001</v>
      </c>
    </row>
    <row r="47" spans="1:31" s="40" customFormat="1" x14ac:dyDescent="0.2">
      <c r="A47" s="147" t="s">
        <v>48</v>
      </c>
      <c r="B47" s="148" t="s">
        <v>41</v>
      </c>
      <c r="C47" s="149">
        <v>14</v>
      </c>
      <c r="D47" s="88" t="s">
        <v>188</v>
      </c>
      <c r="E47" s="82" t="s">
        <v>188</v>
      </c>
      <c r="F47" s="88">
        <f t="shared" si="35"/>
        <v>246.1</v>
      </c>
      <c r="G47" s="82">
        <f>RCF!C$5</f>
        <v>17.577000000000002</v>
      </c>
      <c r="H47" s="88">
        <f t="shared" si="36"/>
        <v>250</v>
      </c>
      <c r="I47" s="37">
        <f>RCF!C$37</f>
        <v>17.86</v>
      </c>
      <c r="J47" s="88">
        <f t="shared" si="37"/>
        <v>247.2</v>
      </c>
      <c r="K47" s="37">
        <f>RCF!C$7</f>
        <v>17.66</v>
      </c>
      <c r="L47" s="88">
        <f t="shared" si="38"/>
        <v>238.5</v>
      </c>
      <c r="M47" s="37">
        <f>RCF!C$9</f>
        <v>17.033999999999999</v>
      </c>
      <c r="N47" s="88">
        <f t="shared" si="39"/>
        <v>241.9</v>
      </c>
      <c r="O47" s="37">
        <f>RCF!C$11</f>
        <v>17.276</v>
      </c>
      <c r="P47" s="88">
        <f t="shared" si="40"/>
        <v>252.9</v>
      </c>
      <c r="Q47" s="37">
        <f>RCF!C$64</f>
        <v>18.07</v>
      </c>
      <c r="R47" s="150">
        <f t="shared" si="41"/>
        <v>230.7</v>
      </c>
      <c r="S47" s="37">
        <f>RCF!C$13</f>
        <v>16.48</v>
      </c>
      <c r="T47" s="88">
        <f t="shared" si="42"/>
        <v>229.7</v>
      </c>
      <c r="U47" s="37">
        <f>RCF!C$22</f>
        <v>16.41</v>
      </c>
      <c r="V47" s="88">
        <f t="shared" si="43"/>
        <v>254.9</v>
      </c>
      <c r="W47" s="37">
        <f>RCF!C$26</f>
        <v>18.209999999999997</v>
      </c>
      <c r="X47" s="88">
        <f t="shared" si="44"/>
        <v>259.10000000000002</v>
      </c>
      <c r="Y47" s="37">
        <f>RCF!C$33</f>
        <v>18.513999999999999</v>
      </c>
      <c r="Z47" s="88">
        <f t="shared" si="45"/>
        <v>256.5</v>
      </c>
      <c r="AA47" s="37">
        <f>RCF!C$39</f>
        <v>18.323333333333334</v>
      </c>
      <c r="AB47" s="88">
        <f t="shared" si="46"/>
        <v>242.2</v>
      </c>
      <c r="AC47" s="37">
        <f>RCF!C$35</f>
        <v>17.306666666666668</v>
      </c>
      <c r="AD47" s="88">
        <f t="shared" si="47"/>
        <v>246.1</v>
      </c>
      <c r="AE47" s="82">
        <f>RCF!C$41</f>
        <v>17.579000000000001</v>
      </c>
    </row>
    <row r="48" spans="1:31" s="40" customFormat="1" x14ac:dyDescent="0.2">
      <c r="A48" s="147" t="s">
        <v>199</v>
      </c>
      <c r="B48" s="148" t="s">
        <v>200</v>
      </c>
      <c r="C48" s="149">
        <v>282</v>
      </c>
      <c r="D48" s="88" t="s">
        <v>188</v>
      </c>
      <c r="E48" s="82" t="s">
        <v>188</v>
      </c>
      <c r="F48" s="88">
        <f t="shared" si="35"/>
        <v>4956.7</v>
      </c>
      <c r="G48" s="82">
        <f>RCF!C$5</f>
        <v>17.577000000000002</v>
      </c>
      <c r="H48" s="88">
        <f t="shared" si="36"/>
        <v>5036.5</v>
      </c>
      <c r="I48" s="37">
        <f>RCF!C$37</f>
        <v>17.86</v>
      </c>
      <c r="J48" s="88">
        <f t="shared" si="37"/>
        <v>4980.1000000000004</v>
      </c>
      <c r="K48" s="37">
        <f>RCF!C$7</f>
        <v>17.66</v>
      </c>
      <c r="L48" s="88">
        <f t="shared" si="38"/>
        <v>4803.6000000000004</v>
      </c>
      <c r="M48" s="37">
        <f>RCF!C$9</f>
        <v>17.033999999999999</v>
      </c>
      <c r="N48" s="88">
        <f t="shared" si="39"/>
        <v>4871.8</v>
      </c>
      <c r="O48" s="37">
        <f>RCF!C$11</f>
        <v>17.276</v>
      </c>
      <c r="P48" s="88">
        <f t="shared" si="40"/>
        <v>5095.7</v>
      </c>
      <c r="Q48" s="37">
        <f>RCF!C$64</f>
        <v>18.07</v>
      </c>
      <c r="R48" s="150">
        <f t="shared" si="41"/>
        <v>4647.3</v>
      </c>
      <c r="S48" s="37">
        <f>RCF!C$13</f>
        <v>16.48</v>
      </c>
      <c r="T48" s="88">
        <f t="shared" si="42"/>
        <v>4627.6000000000004</v>
      </c>
      <c r="U48" s="37">
        <f>RCF!C$22</f>
        <v>16.41</v>
      </c>
      <c r="V48" s="88">
        <f t="shared" si="43"/>
        <v>5135.2</v>
      </c>
      <c r="W48" s="37">
        <f>RCF!C$26</f>
        <v>18.209999999999997</v>
      </c>
      <c r="X48" s="88">
        <f t="shared" si="44"/>
        <v>5220.8999999999996</v>
      </c>
      <c r="Y48" s="37">
        <f>RCF!C$33</f>
        <v>18.513999999999999</v>
      </c>
      <c r="Z48" s="88">
        <f t="shared" si="45"/>
        <v>5167.1000000000004</v>
      </c>
      <c r="AA48" s="37">
        <f>RCF!C$39</f>
        <v>18.323333333333334</v>
      </c>
      <c r="AB48" s="88">
        <f t="shared" si="46"/>
        <v>4880.3999999999996</v>
      </c>
      <c r="AC48" s="37">
        <f>RCF!C$35</f>
        <v>17.306666666666668</v>
      </c>
      <c r="AD48" s="88">
        <f t="shared" si="47"/>
        <v>4957.3</v>
      </c>
      <c r="AE48" s="82">
        <f>RCF!C$41</f>
        <v>17.579000000000001</v>
      </c>
    </row>
    <row r="49" spans="1:31" s="40" customFormat="1" ht="25.5" x14ac:dyDescent="0.2">
      <c r="A49" s="147" t="s">
        <v>49</v>
      </c>
      <c r="B49" s="148" t="s">
        <v>201</v>
      </c>
      <c r="C49" s="149">
        <v>9</v>
      </c>
      <c r="D49" s="88" t="s">
        <v>188</v>
      </c>
      <c r="E49" s="82" t="s">
        <v>188</v>
      </c>
      <c r="F49" s="88">
        <f t="shared" si="35"/>
        <v>158.19999999999999</v>
      </c>
      <c r="G49" s="82">
        <f>RCF!C$5</f>
        <v>17.577000000000002</v>
      </c>
      <c r="H49" s="88">
        <f t="shared" si="36"/>
        <v>160.69999999999999</v>
      </c>
      <c r="I49" s="37">
        <f>RCF!C$37</f>
        <v>17.86</v>
      </c>
      <c r="J49" s="88">
        <f t="shared" si="37"/>
        <v>158.9</v>
      </c>
      <c r="K49" s="37">
        <f>RCF!C$7</f>
        <v>17.66</v>
      </c>
      <c r="L49" s="88">
        <f t="shared" si="38"/>
        <v>153.30000000000001</v>
      </c>
      <c r="M49" s="37">
        <f>RCF!C$9</f>
        <v>17.033999999999999</v>
      </c>
      <c r="N49" s="88">
        <f t="shared" si="39"/>
        <v>155.5</v>
      </c>
      <c r="O49" s="37">
        <f>RCF!C$11</f>
        <v>17.276</v>
      </c>
      <c r="P49" s="88">
        <f t="shared" si="40"/>
        <v>162.6</v>
      </c>
      <c r="Q49" s="37">
        <f>RCF!C$64</f>
        <v>18.07</v>
      </c>
      <c r="R49" s="150">
        <f t="shared" si="41"/>
        <v>148.30000000000001</v>
      </c>
      <c r="S49" s="37">
        <f>RCF!C$13</f>
        <v>16.48</v>
      </c>
      <c r="T49" s="88">
        <f t="shared" si="42"/>
        <v>147.69999999999999</v>
      </c>
      <c r="U49" s="37">
        <f>RCF!C$22</f>
        <v>16.41</v>
      </c>
      <c r="V49" s="88">
        <f t="shared" si="43"/>
        <v>163.9</v>
      </c>
      <c r="W49" s="37">
        <f>RCF!C$26</f>
        <v>18.209999999999997</v>
      </c>
      <c r="X49" s="88">
        <f t="shared" si="44"/>
        <v>166.6</v>
      </c>
      <c r="Y49" s="37">
        <f>RCF!C$33</f>
        <v>18.513999999999999</v>
      </c>
      <c r="Z49" s="88">
        <f t="shared" si="45"/>
        <v>164.9</v>
      </c>
      <c r="AA49" s="37">
        <f>RCF!C$39</f>
        <v>18.323333333333334</v>
      </c>
      <c r="AB49" s="88">
        <f t="shared" si="46"/>
        <v>155.69999999999999</v>
      </c>
      <c r="AC49" s="37">
        <f>RCF!C$35</f>
        <v>17.306666666666668</v>
      </c>
      <c r="AD49" s="88">
        <f t="shared" si="47"/>
        <v>158.19999999999999</v>
      </c>
      <c r="AE49" s="82">
        <f>RCF!C$41</f>
        <v>17.579000000000001</v>
      </c>
    </row>
    <row r="50" spans="1:31" s="40" customFormat="1" x14ac:dyDescent="0.2">
      <c r="A50" s="147" t="s">
        <v>202</v>
      </c>
      <c r="B50" s="148" t="s">
        <v>203</v>
      </c>
      <c r="C50" s="149">
        <v>9</v>
      </c>
      <c r="D50" s="88" t="s">
        <v>188</v>
      </c>
      <c r="E50" s="82" t="s">
        <v>188</v>
      </c>
      <c r="F50" s="88">
        <f t="shared" si="35"/>
        <v>158.19999999999999</v>
      </c>
      <c r="G50" s="82">
        <f>RCF!C$5</f>
        <v>17.577000000000002</v>
      </c>
      <c r="H50" s="88">
        <f t="shared" si="36"/>
        <v>160.69999999999999</v>
      </c>
      <c r="I50" s="37">
        <f>RCF!C$37</f>
        <v>17.86</v>
      </c>
      <c r="J50" s="88">
        <f t="shared" si="37"/>
        <v>158.9</v>
      </c>
      <c r="K50" s="37">
        <f>RCF!C$7</f>
        <v>17.66</v>
      </c>
      <c r="L50" s="88">
        <f t="shared" si="38"/>
        <v>153.30000000000001</v>
      </c>
      <c r="M50" s="37">
        <f>RCF!C$9</f>
        <v>17.033999999999999</v>
      </c>
      <c r="N50" s="88">
        <f t="shared" si="39"/>
        <v>155.5</v>
      </c>
      <c r="O50" s="37">
        <f>RCF!C$11</f>
        <v>17.276</v>
      </c>
      <c r="P50" s="88">
        <f t="shared" si="40"/>
        <v>162.6</v>
      </c>
      <c r="Q50" s="37">
        <f>RCF!C$64</f>
        <v>18.07</v>
      </c>
      <c r="R50" s="150">
        <f t="shared" si="41"/>
        <v>148.30000000000001</v>
      </c>
      <c r="S50" s="37">
        <f>RCF!C$13</f>
        <v>16.48</v>
      </c>
      <c r="T50" s="88">
        <f t="shared" si="42"/>
        <v>147.69999999999999</v>
      </c>
      <c r="U50" s="37">
        <f>RCF!C$22</f>
        <v>16.41</v>
      </c>
      <c r="V50" s="88">
        <f t="shared" si="43"/>
        <v>163.9</v>
      </c>
      <c r="W50" s="37">
        <f>RCF!C$26</f>
        <v>18.209999999999997</v>
      </c>
      <c r="X50" s="88">
        <f t="shared" si="44"/>
        <v>166.6</v>
      </c>
      <c r="Y50" s="37">
        <f>RCF!C$33</f>
        <v>18.513999999999999</v>
      </c>
      <c r="Z50" s="88">
        <f t="shared" si="45"/>
        <v>164.9</v>
      </c>
      <c r="AA50" s="37">
        <f>RCF!C$39</f>
        <v>18.323333333333334</v>
      </c>
      <c r="AB50" s="88">
        <f t="shared" si="46"/>
        <v>155.69999999999999</v>
      </c>
      <c r="AC50" s="37">
        <f>RCF!C$35</f>
        <v>17.306666666666668</v>
      </c>
      <c r="AD50" s="88">
        <f t="shared" si="47"/>
        <v>158.19999999999999</v>
      </c>
      <c r="AE50" s="82">
        <f>RCF!C$41</f>
        <v>17.579000000000001</v>
      </c>
    </row>
    <row r="51" spans="1:31" s="40" customFormat="1" x14ac:dyDescent="0.2">
      <c r="A51" s="147" t="s">
        <v>204</v>
      </c>
      <c r="B51" s="148" t="s">
        <v>205</v>
      </c>
      <c r="C51" s="149">
        <v>75</v>
      </c>
      <c r="D51" s="88" t="s">
        <v>188</v>
      </c>
      <c r="E51" s="82" t="s">
        <v>188</v>
      </c>
      <c r="F51" s="88">
        <f t="shared" si="35"/>
        <v>1318.3</v>
      </c>
      <c r="G51" s="82">
        <f>RCF!C$5</f>
        <v>17.577000000000002</v>
      </c>
      <c r="H51" s="88">
        <f t="shared" si="36"/>
        <v>1339.5</v>
      </c>
      <c r="I51" s="37">
        <f>RCF!C$37</f>
        <v>17.86</v>
      </c>
      <c r="J51" s="88">
        <f t="shared" si="37"/>
        <v>1324.5</v>
      </c>
      <c r="K51" s="37">
        <f>RCF!C$7</f>
        <v>17.66</v>
      </c>
      <c r="L51" s="88">
        <f t="shared" si="38"/>
        <v>1277.5999999999999</v>
      </c>
      <c r="M51" s="37">
        <f>RCF!C$9</f>
        <v>17.033999999999999</v>
      </c>
      <c r="N51" s="88">
        <f t="shared" si="39"/>
        <v>1295.7</v>
      </c>
      <c r="O51" s="37">
        <f>RCF!C$11</f>
        <v>17.276</v>
      </c>
      <c r="P51" s="88">
        <f t="shared" si="40"/>
        <v>1355.2</v>
      </c>
      <c r="Q51" s="37">
        <f>RCF!C$64</f>
        <v>18.07</v>
      </c>
      <c r="R51" s="150">
        <f t="shared" si="41"/>
        <v>1236</v>
      </c>
      <c r="S51" s="37">
        <f>RCF!C$13</f>
        <v>16.48</v>
      </c>
      <c r="T51" s="88">
        <f t="shared" si="42"/>
        <v>1230.8</v>
      </c>
      <c r="U51" s="37">
        <f>RCF!C$22</f>
        <v>16.41</v>
      </c>
      <c r="V51" s="88">
        <f t="shared" si="43"/>
        <v>1365.8</v>
      </c>
      <c r="W51" s="37">
        <f>RCF!C$26</f>
        <v>18.209999999999997</v>
      </c>
      <c r="X51" s="88">
        <f t="shared" si="44"/>
        <v>1388.5</v>
      </c>
      <c r="Y51" s="37">
        <f>RCF!C$33</f>
        <v>18.513999999999999</v>
      </c>
      <c r="Z51" s="88">
        <f t="shared" si="45"/>
        <v>1374.2</v>
      </c>
      <c r="AA51" s="37">
        <f>RCF!C$39</f>
        <v>18.323333333333334</v>
      </c>
      <c r="AB51" s="88">
        <f t="shared" si="46"/>
        <v>1298</v>
      </c>
      <c r="AC51" s="37">
        <f>RCF!C$35</f>
        <v>17.306666666666668</v>
      </c>
      <c r="AD51" s="88">
        <f t="shared" si="47"/>
        <v>1318.4</v>
      </c>
      <c r="AE51" s="82">
        <f>RCF!C$41</f>
        <v>17.579000000000001</v>
      </c>
    </row>
    <row r="52" spans="1:31" s="40" customFormat="1" x14ac:dyDescent="0.2">
      <c r="A52" s="147" t="s">
        <v>29</v>
      </c>
      <c r="B52" s="148" t="s">
        <v>38</v>
      </c>
      <c r="C52" s="149">
        <v>12</v>
      </c>
      <c r="D52" s="88" t="s">
        <v>188</v>
      </c>
      <c r="E52" s="82" t="s">
        <v>188</v>
      </c>
      <c r="F52" s="88">
        <f t="shared" si="35"/>
        <v>210.9</v>
      </c>
      <c r="G52" s="82">
        <f>RCF!C$5</f>
        <v>17.577000000000002</v>
      </c>
      <c r="H52" s="88">
        <f t="shared" si="36"/>
        <v>214.3</v>
      </c>
      <c r="I52" s="37">
        <f>RCF!C$37</f>
        <v>17.86</v>
      </c>
      <c r="J52" s="88">
        <f t="shared" si="37"/>
        <v>211.9</v>
      </c>
      <c r="K52" s="37">
        <f>RCF!C$7</f>
        <v>17.66</v>
      </c>
      <c r="L52" s="88">
        <f t="shared" si="38"/>
        <v>204.4</v>
      </c>
      <c r="M52" s="37">
        <f>RCF!C$9</f>
        <v>17.033999999999999</v>
      </c>
      <c r="N52" s="88">
        <f t="shared" si="39"/>
        <v>207.3</v>
      </c>
      <c r="O52" s="37">
        <f>RCF!C$11</f>
        <v>17.276</v>
      </c>
      <c r="P52" s="88">
        <f t="shared" si="40"/>
        <v>216.8</v>
      </c>
      <c r="Q52" s="37">
        <f>RCF!C$64</f>
        <v>18.07</v>
      </c>
      <c r="R52" s="150">
        <f t="shared" si="41"/>
        <v>197.7</v>
      </c>
      <c r="S52" s="37">
        <f>RCF!C$13</f>
        <v>16.48</v>
      </c>
      <c r="T52" s="88">
        <f t="shared" si="42"/>
        <v>196.9</v>
      </c>
      <c r="U52" s="37">
        <f>RCF!C$22</f>
        <v>16.41</v>
      </c>
      <c r="V52" s="88">
        <f t="shared" si="43"/>
        <v>218.5</v>
      </c>
      <c r="W52" s="37">
        <f>RCF!C$26</f>
        <v>18.209999999999997</v>
      </c>
      <c r="X52" s="88">
        <f t="shared" si="44"/>
        <v>222.1</v>
      </c>
      <c r="Y52" s="37">
        <f>RCF!C$33</f>
        <v>18.513999999999999</v>
      </c>
      <c r="Z52" s="88">
        <f t="shared" si="45"/>
        <v>219.8</v>
      </c>
      <c r="AA52" s="37">
        <f>RCF!C$39</f>
        <v>18.323333333333334</v>
      </c>
      <c r="AB52" s="88">
        <f t="shared" si="46"/>
        <v>207.6</v>
      </c>
      <c r="AC52" s="37">
        <f>RCF!C$35</f>
        <v>17.306666666666668</v>
      </c>
      <c r="AD52" s="88">
        <f t="shared" si="47"/>
        <v>210.9</v>
      </c>
      <c r="AE52" s="82">
        <f>RCF!C$41</f>
        <v>17.579000000000001</v>
      </c>
    </row>
    <row r="53" spans="1:31" s="40" customFormat="1" x14ac:dyDescent="0.2">
      <c r="A53" s="147" t="s">
        <v>32</v>
      </c>
      <c r="B53" s="148" t="s">
        <v>206</v>
      </c>
      <c r="C53" s="149">
        <v>30</v>
      </c>
      <c r="D53" s="88" t="s">
        <v>188</v>
      </c>
      <c r="E53" s="82" t="s">
        <v>188</v>
      </c>
      <c r="F53" s="88">
        <f t="shared" si="35"/>
        <v>527.29999999999995</v>
      </c>
      <c r="G53" s="82">
        <f>RCF!C$5</f>
        <v>17.577000000000002</v>
      </c>
      <c r="H53" s="88">
        <f t="shared" si="36"/>
        <v>535.79999999999995</v>
      </c>
      <c r="I53" s="37">
        <f>RCF!C$37</f>
        <v>17.86</v>
      </c>
      <c r="J53" s="88">
        <f t="shared" si="37"/>
        <v>529.79999999999995</v>
      </c>
      <c r="K53" s="37">
        <f>RCF!C$7</f>
        <v>17.66</v>
      </c>
      <c r="L53" s="88">
        <f t="shared" si="38"/>
        <v>511</v>
      </c>
      <c r="M53" s="37">
        <f>RCF!C$9</f>
        <v>17.033999999999999</v>
      </c>
      <c r="N53" s="88">
        <f t="shared" si="39"/>
        <v>518.29999999999995</v>
      </c>
      <c r="O53" s="37">
        <f>RCF!C$11</f>
        <v>17.276</v>
      </c>
      <c r="P53" s="88">
        <f t="shared" si="40"/>
        <v>542.1</v>
      </c>
      <c r="Q53" s="37">
        <f>RCF!C$64</f>
        <v>18.07</v>
      </c>
      <c r="R53" s="150">
        <f t="shared" si="41"/>
        <v>494.4</v>
      </c>
      <c r="S53" s="37">
        <f>RCF!C$13</f>
        <v>16.48</v>
      </c>
      <c r="T53" s="88">
        <f t="shared" si="42"/>
        <v>492.3</v>
      </c>
      <c r="U53" s="37">
        <f>RCF!C$22</f>
        <v>16.41</v>
      </c>
      <c r="V53" s="88">
        <f t="shared" si="43"/>
        <v>546.29999999999995</v>
      </c>
      <c r="W53" s="37">
        <f>RCF!C$26</f>
        <v>18.209999999999997</v>
      </c>
      <c r="X53" s="88">
        <f t="shared" si="44"/>
        <v>555.4</v>
      </c>
      <c r="Y53" s="37">
        <f>RCF!C$33</f>
        <v>18.513999999999999</v>
      </c>
      <c r="Z53" s="88">
        <f t="shared" si="45"/>
        <v>549.70000000000005</v>
      </c>
      <c r="AA53" s="37">
        <f>RCF!C$39</f>
        <v>18.323333333333334</v>
      </c>
      <c r="AB53" s="88">
        <f t="shared" si="46"/>
        <v>519.20000000000005</v>
      </c>
      <c r="AC53" s="37">
        <f>RCF!C$35</f>
        <v>17.306666666666668</v>
      </c>
      <c r="AD53" s="88">
        <f t="shared" si="47"/>
        <v>527.4</v>
      </c>
      <c r="AE53" s="82">
        <f>RCF!C$41</f>
        <v>17.579000000000001</v>
      </c>
    </row>
    <row r="54" spans="1:31" s="40" customFormat="1" ht="25.5" x14ac:dyDescent="0.2">
      <c r="A54" s="147" t="s">
        <v>207</v>
      </c>
      <c r="B54" s="148" t="s">
        <v>208</v>
      </c>
      <c r="C54" s="149">
        <v>50</v>
      </c>
      <c r="D54" s="88" t="s">
        <v>188</v>
      </c>
      <c r="E54" s="82" t="s">
        <v>188</v>
      </c>
      <c r="F54" s="88">
        <f t="shared" si="35"/>
        <v>878.9</v>
      </c>
      <c r="G54" s="82">
        <f>RCF!C$5</f>
        <v>17.577000000000002</v>
      </c>
      <c r="H54" s="88">
        <f t="shared" si="36"/>
        <v>893</v>
      </c>
      <c r="I54" s="37">
        <f>RCF!C$37</f>
        <v>17.86</v>
      </c>
      <c r="J54" s="88">
        <f t="shared" si="37"/>
        <v>883</v>
      </c>
      <c r="K54" s="37">
        <f>RCF!C$7</f>
        <v>17.66</v>
      </c>
      <c r="L54" s="88">
        <f t="shared" si="38"/>
        <v>851.7</v>
      </c>
      <c r="M54" s="37">
        <f>RCF!C$9</f>
        <v>17.033999999999999</v>
      </c>
      <c r="N54" s="88">
        <f t="shared" si="39"/>
        <v>863.8</v>
      </c>
      <c r="O54" s="37">
        <f>RCF!C$11</f>
        <v>17.276</v>
      </c>
      <c r="P54" s="88">
        <f t="shared" si="40"/>
        <v>903.5</v>
      </c>
      <c r="Q54" s="37">
        <f>RCF!C$64</f>
        <v>18.07</v>
      </c>
      <c r="R54" s="150">
        <f t="shared" si="41"/>
        <v>824</v>
      </c>
      <c r="S54" s="37">
        <f>RCF!C$13</f>
        <v>16.48</v>
      </c>
      <c r="T54" s="88">
        <f t="shared" si="42"/>
        <v>820.5</v>
      </c>
      <c r="U54" s="37">
        <f>RCF!C$22</f>
        <v>16.41</v>
      </c>
      <c r="V54" s="88">
        <f t="shared" si="43"/>
        <v>910.5</v>
      </c>
      <c r="W54" s="37">
        <f>RCF!C$26</f>
        <v>18.209999999999997</v>
      </c>
      <c r="X54" s="88">
        <f t="shared" si="44"/>
        <v>925.7</v>
      </c>
      <c r="Y54" s="37">
        <f>RCF!C$33</f>
        <v>18.513999999999999</v>
      </c>
      <c r="Z54" s="88">
        <f t="shared" si="45"/>
        <v>916.1</v>
      </c>
      <c r="AA54" s="37">
        <f>RCF!C$39</f>
        <v>18.323333333333334</v>
      </c>
      <c r="AB54" s="88">
        <f t="shared" si="46"/>
        <v>865.3</v>
      </c>
      <c r="AC54" s="37">
        <f>RCF!C$35</f>
        <v>17.306666666666668</v>
      </c>
      <c r="AD54" s="88">
        <f t="shared" si="47"/>
        <v>879</v>
      </c>
      <c r="AE54" s="82">
        <f>RCF!C$41</f>
        <v>17.579000000000001</v>
      </c>
    </row>
    <row r="55" spans="1:31" s="40" customFormat="1" x14ac:dyDescent="0.2">
      <c r="A55" s="147" t="s">
        <v>209</v>
      </c>
      <c r="B55" s="148" t="s">
        <v>210</v>
      </c>
      <c r="C55" s="149">
        <v>5</v>
      </c>
      <c r="D55" s="88" t="s">
        <v>188</v>
      </c>
      <c r="E55" s="82" t="s">
        <v>188</v>
      </c>
      <c r="F55" s="88">
        <f t="shared" si="35"/>
        <v>87.9</v>
      </c>
      <c r="G55" s="82">
        <f>RCF!C$5</f>
        <v>17.577000000000002</v>
      </c>
      <c r="H55" s="88">
        <f t="shared" si="36"/>
        <v>89.3</v>
      </c>
      <c r="I55" s="37">
        <f>RCF!C$37</f>
        <v>17.86</v>
      </c>
      <c r="J55" s="88">
        <f t="shared" si="37"/>
        <v>88.3</v>
      </c>
      <c r="K55" s="37">
        <f>RCF!C$7</f>
        <v>17.66</v>
      </c>
      <c r="L55" s="88">
        <f t="shared" si="38"/>
        <v>85.2</v>
      </c>
      <c r="M55" s="37">
        <f>RCF!C$9</f>
        <v>17.033999999999999</v>
      </c>
      <c r="N55" s="88">
        <f t="shared" si="39"/>
        <v>86.4</v>
      </c>
      <c r="O55" s="37">
        <f>RCF!C$11</f>
        <v>17.276</v>
      </c>
      <c r="P55" s="88">
        <f t="shared" si="40"/>
        <v>90.3</v>
      </c>
      <c r="Q55" s="37">
        <f>RCF!C$64</f>
        <v>18.07</v>
      </c>
      <c r="R55" s="150">
        <f t="shared" si="41"/>
        <v>82.4</v>
      </c>
      <c r="S55" s="37">
        <f>RCF!C$13</f>
        <v>16.48</v>
      </c>
      <c r="T55" s="88">
        <f t="shared" si="42"/>
        <v>82.1</v>
      </c>
      <c r="U55" s="37">
        <f>RCF!C$22</f>
        <v>16.41</v>
      </c>
      <c r="V55" s="88">
        <f t="shared" si="43"/>
        <v>91.1</v>
      </c>
      <c r="W55" s="37">
        <f>RCF!C$26</f>
        <v>18.209999999999997</v>
      </c>
      <c r="X55" s="88">
        <f t="shared" si="44"/>
        <v>92.5</v>
      </c>
      <c r="Y55" s="37">
        <f>RCF!C$33</f>
        <v>18.513999999999999</v>
      </c>
      <c r="Z55" s="88">
        <f t="shared" si="45"/>
        <v>91.6</v>
      </c>
      <c r="AA55" s="37">
        <f>RCF!C$39</f>
        <v>18.323333333333334</v>
      </c>
      <c r="AB55" s="88">
        <f t="shared" si="46"/>
        <v>86.5</v>
      </c>
      <c r="AC55" s="37">
        <f>RCF!C$35</f>
        <v>17.306666666666668</v>
      </c>
      <c r="AD55" s="88">
        <f t="shared" si="47"/>
        <v>87.9</v>
      </c>
      <c r="AE55" s="82">
        <f>RCF!C$41</f>
        <v>17.579000000000001</v>
      </c>
    </row>
    <row r="56" spans="1:31" s="40" customFormat="1" x14ac:dyDescent="0.2">
      <c r="A56" s="147" t="s">
        <v>141</v>
      </c>
      <c r="B56" s="148" t="s">
        <v>211</v>
      </c>
      <c r="C56" s="149">
        <v>9</v>
      </c>
      <c r="D56" s="88" t="s">
        <v>188</v>
      </c>
      <c r="E56" s="82" t="s">
        <v>188</v>
      </c>
      <c r="F56" s="88">
        <f t="shared" si="35"/>
        <v>158.19999999999999</v>
      </c>
      <c r="G56" s="82">
        <f>RCF!C$5</f>
        <v>17.577000000000002</v>
      </c>
      <c r="H56" s="88">
        <f t="shared" si="36"/>
        <v>160.69999999999999</v>
      </c>
      <c r="I56" s="37">
        <f>RCF!C$37</f>
        <v>17.86</v>
      </c>
      <c r="J56" s="88">
        <f t="shared" si="37"/>
        <v>158.9</v>
      </c>
      <c r="K56" s="37">
        <f>RCF!C$7</f>
        <v>17.66</v>
      </c>
      <c r="L56" s="88">
        <f t="shared" si="38"/>
        <v>153.30000000000001</v>
      </c>
      <c r="M56" s="37">
        <f>RCF!C$9</f>
        <v>17.033999999999999</v>
      </c>
      <c r="N56" s="88">
        <f t="shared" si="39"/>
        <v>155.5</v>
      </c>
      <c r="O56" s="37">
        <f>RCF!C$11</f>
        <v>17.276</v>
      </c>
      <c r="P56" s="88">
        <f t="shared" si="40"/>
        <v>162.6</v>
      </c>
      <c r="Q56" s="37">
        <f>RCF!C$64</f>
        <v>18.07</v>
      </c>
      <c r="R56" s="150">
        <f t="shared" si="41"/>
        <v>148.30000000000001</v>
      </c>
      <c r="S56" s="37">
        <f>RCF!C$13</f>
        <v>16.48</v>
      </c>
      <c r="T56" s="88">
        <f t="shared" si="42"/>
        <v>147.69999999999999</v>
      </c>
      <c r="U56" s="37">
        <f>RCF!C$22</f>
        <v>16.41</v>
      </c>
      <c r="V56" s="88">
        <f t="shared" si="43"/>
        <v>163.9</v>
      </c>
      <c r="W56" s="37">
        <f>RCF!C$26</f>
        <v>18.209999999999997</v>
      </c>
      <c r="X56" s="88">
        <f t="shared" si="44"/>
        <v>166.6</v>
      </c>
      <c r="Y56" s="37">
        <f>RCF!C$33</f>
        <v>18.513999999999999</v>
      </c>
      <c r="Z56" s="88">
        <f t="shared" si="45"/>
        <v>164.9</v>
      </c>
      <c r="AA56" s="37">
        <f>RCF!C$39</f>
        <v>18.323333333333334</v>
      </c>
      <c r="AB56" s="88">
        <f t="shared" si="46"/>
        <v>155.69999999999999</v>
      </c>
      <c r="AC56" s="37">
        <f>RCF!C$35</f>
        <v>17.306666666666668</v>
      </c>
      <c r="AD56" s="88">
        <f t="shared" si="47"/>
        <v>158.19999999999999</v>
      </c>
      <c r="AE56" s="82">
        <f>RCF!C$41</f>
        <v>17.579000000000001</v>
      </c>
    </row>
    <row r="57" spans="1:31" s="40" customFormat="1" x14ac:dyDescent="0.2">
      <c r="A57" s="147" t="s">
        <v>212</v>
      </c>
      <c r="B57" s="148" t="s">
        <v>213</v>
      </c>
      <c r="C57" s="149">
        <v>13</v>
      </c>
      <c r="D57" s="88" t="s">
        <v>188</v>
      </c>
      <c r="E57" s="82" t="s">
        <v>188</v>
      </c>
      <c r="F57" s="88">
        <f t="shared" si="35"/>
        <v>228.5</v>
      </c>
      <c r="G57" s="82">
        <f>RCF!C$5</f>
        <v>17.577000000000002</v>
      </c>
      <c r="H57" s="88">
        <f t="shared" si="36"/>
        <v>232.1</v>
      </c>
      <c r="I57" s="37">
        <f>RCF!C$37</f>
        <v>17.86</v>
      </c>
      <c r="J57" s="88">
        <f t="shared" si="37"/>
        <v>229.5</v>
      </c>
      <c r="K57" s="37">
        <f>RCF!C$7</f>
        <v>17.66</v>
      </c>
      <c r="L57" s="88">
        <f t="shared" si="38"/>
        <v>221.4</v>
      </c>
      <c r="M57" s="37">
        <f>RCF!C$9</f>
        <v>17.033999999999999</v>
      </c>
      <c r="N57" s="88">
        <f t="shared" si="39"/>
        <v>224.6</v>
      </c>
      <c r="O57" s="37">
        <f>RCF!C$11</f>
        <v>17.276</v>
      </c>
      <c r="P57" s="88">
        <f t="shared" si="40"/>
        <v>234.9</v>
      </c>
      <c r="Q57" s="37">
        <f>RCF!C$64</f>
        <v>18.07</v>
      </c>
      <c r="R57" s="150">
        <f t="shared" si="41"/>
        <v>214.2</v>
      </c>
      <c r="S57" s="37">
        <f>RCF!C$13</f>
        <v>16.48</v>
      </c>
      <c r="T57" s="88">
        <f t="shared" si="42"/>
        <v>213.3</v>
      </c>
      <c r="U57" s="37">
        <f>RCF!C$22</f>
        <v>16.41</v>
      </c>
      <c r="V57" s="88">
        <f t="shared" si="43"/>
        <v>236.7</v>
      </c>
      <c r="W57" s="37">
        <f>RCF!C$26</f>
        <v>18.209999999999997</v>
      </c>
      <c r="X57" s="88">
        <f t="shared" si="44"/>
        <v>240.6</v>
      </c>
      <c r="Y57" s="37">
        <f>RCF!C$33</f>
        <v>18.513999999999999</v>
      </c>
      <c r="Z57" s="88">
        <f t="shared" si="45"/>
        <v>238.2</v>
      </c>
      <c r="AA57" s="37">
        <f>RCF!C$39</f>
        <v>18.323333333333334</v>
      </c>
      <c r="AB57" s="88">
        <f t="shared" si="46"/>
        <v>224.9</v>
      </c>
      <c r="AC57" s="37">
        <f>RCF!C$35</f>
        <v>17.306666666666668</v>
      </c>
      <c r="AD57" s="88">
        <f t="shared" si="47"/>
        <v>228.5</v>
      </c>
      <c r="AE57" s="82">
        <f>RCF!C$41</f>
        <v>17.579000000000001</v>
      </c>
    </row>
    <row r="58" spans="1:31" s="40" customFormat="1" ht="25.5" x14ac:dyDescent="0.2">
      <c r="A58" s="147" t="s">
        <v>142</v>
      </c>
      <c r="B58" s="148" t="s">
        <v>214</v>
      </c>
      <c r="C58" s="149">
        <v>40</v>
      </c>
      <c r="D58" s="88" t="s">
        <v>188</v>
      </c>
      <c r="E58" s="82" t="s">
        <v>188</v>
      </c>
      <c r="F58" s="88">
        <f t="shared" si="35"/>
        <v>703.1</v>
      </c>
      <c r="G58" s="82">
        <f>RCF!C$5</f>
        <v>17.577000000000002</v>
      </c>
      <c r="H58" s="88">
        <f t="shared" si="36"/>
        <v>714.4</v>
      </c>
      <c r="I58" s="37">
        <f>RCF!C$37</f>
        <v>17.86</v>
      </c>
      <c r="J58" s="88">
        <f t="shared" si="37"/>
        <v>706.4</v>
      </c>
      <c r="K58" s="37">
        <f>RCF!C$7</f>
        <v>17.66</v>
      </c>
      <c r="L58" s="88">
        <f t="shared" si="38"/>
        <v>681.4</v>
      </c>
      <c r="M58" s="37">
        <f>RCF!C$9</f>
        <v>17.033999999999999</v>
      </c>
      <c r="N58" s="88">
        <f t="shared" si="39"/>
        <v>691</v>
      </c>
      <c r="O58" s="37">
        <f>RCF!C$11</f>
        <v>17.276</v>
      </c>
      <c r="P58" s="88">
        <f t="shared" si="40"/>
        <v>722.8</v>
      </c>
      <c r="Q58" s="37">
        <f>RCF!C$64</f>
        <v>18.07</v>
      </c>
      <c r="R58" s="150">
        <f t="shared" si="41"/>
        <v>659.2</v>
      </c>
      <c r="S58" s="37">
        <f>RCF!C$13</f>
        <v>16.48</v>
      </c>
      <c r="T58" s="88">
        <f t="shared" si="42"/>
        <v>656.4</v>
      </c>
      <c r="U58" s="37">
        <f>RCF!C$22</f>
        <v>16.41</v>
      </c>
      <c r="V58" s="88">
        <f t="shared" si="43"/>
        <v>728.4</v>
      </c>
      <c r="W58" s="37">
        <f>RCF!C$26</f>
        <v>18.209999999999997</v>
      </c>
      <c r="X58" s="88">
        <f t="shared" si="44"/>
        <v>740.5</v>
      </c>
      <c r="Y58" s="37">
        <f>RCF!C$33</f>
        <v>18.513999999999999</v>
      </c>
      <c r="Z58" s="88">
        <f t="shared" si="45"/>
        <v>732.9</v>
      </c>
      <c r="AA58" s="37">
        <f>RCF!C$39</f>
        <v>18.323333333333334</v>
      </c>
      <c r="AB58" s="88">
        <f t="shared" si="46"/>
        <v>692.2</v>
      </c>
      <c r="AC58" s="37">
        <f>RCF!C$35</f>
        <v>17.306666666666668</v>
      </c>
      <c r="AD58" s="88">
        <f t="shared" si="47"/>
        <v>703.2</v>
      </c>
      <c r="AE58" s="82">
        <f>RCF!C$41</f>
        <v>17.579000000000001</v>
      </c>
    </row>
    <row r="59" spans="1:31" s="40" customFormat="1" x14ac:dyDescent="0.2">
      <c r="A59" s="147" t="s">
        <v>143</v>
      </c>
      <c r="B59" s="148" t="s">
        <v>215</v>
      </c>
      <c r="C59" s="149">
        <v>60</v>
      </c>
      <c r="D59" s="88" t="s">
        <v>188</v>
      </c>
      <c r="E59" s="82" t="s">
        <v>188</v>
      </c>
      <c r="F59" s="88">
        <f t="shared" si="35"/>
        <v>1054.5999999999999</v>
      </c>
      <c r="G59" s="82">
        <f>RCF!C$5</f>
        <v>17.577000000000002</v>
      </c>
      <c r="H59" s="88">
        <f t="shared" si="36"/>
        <v>1071.5999999999999</v>
      </c>
      <c r="I59" s="37">
        <f>RCF!C$37</f>
        <v>17.86</v>
      </c>
      <c r="J59" s="88">
        <f t="shared" si="37"/>
        <v>1059.5999999999999</v>
      </c>
      <c r="K59" s="37">
        <f>RCF!C$7</f>
        <v>17.66</v>
      </c>
      <c r="L59" s="88">
        <f t="shared" si="38"/>
        <v>1022</v>
      </c>
      <c r="M59" s="37">
        <f>RCF!C$9</f>
        <v>17.033999999999999</v>
      </c>
      <c r="N59" s="88">
        <f t="shared" si="39"/>
        <v>1036.5999999999999</v>
      </c>
      <c r="O59" s="37">
        <f>RCF!C$11</f>
        <v>17.276</v>
      </c>
      <c r="P59" s="88">
        <f t="shared" si="40"/>
        <v>1084.2</v>
      </c>
      <c r="Q59" s="37">
        <f>RCF!C$64</f>
        <v>18.07</v>
      </c>
      <c r="R59" s="150">
        <f t="shared" si="41"/>
        <v>988.8</v>
      </c>
      <c r="S59" s="37">
        <f>RCF!C$13</f>
        <v>16.48</v>
      </c>
      <c r="T59" s="88">
        <f t="shared" si="42"/>
        <v>984.6</v>
      </c>
      <c r="U59" s="37">
        <f>RCF!C$22</f>
        <v>16.41</v>
      </c>
      <c r="V59" s="88">
        <f t="shared" si="43"/>
        <v>1092.5999999999999</v>
      </c>
      <c r="W59" s="37">
        <f>RCF!C$26</f>
        <v>18.209999999999997</v>
      </c>
      <c r="X59" s="88">
        <f t="shared" si="44"/>
        <v>1110.8</v>
      </c>
      <c r="Y59" s="37">
        <f>RCF!C$33</f>
        <v>18.513999999999999</v>
      </c>
      <c r="Z59" s="88">
        <f t="shared" si="45"/>
        <v>1099.4000000000001</v>
      </c>
      <c r="AA59" s="37">
        <f>RCF!C$39</f>
        <v>18.323333333333334</v>
      </c>
      <c r="AB59" s="88">
        <f t="shared" si="46"/>
        <v>1038.4000000000001</v>
      </c>
      <c r="AC59" s="37">
        <f>RCF!C$35</f>
        <v>17.306666666666668</v>
      </c>
      <c r="AD59" s="88">
        <f t="shared" si="47"/>
        <v>1054.7</v>
      </c>
      <c r="AE59" s="82">
        <f>RCF!C$41</f>
        <v>17.579000000000001</v>
      </c>
    </row>
    <row r="60" spans="1:31" s="40" customFormat="1" ht="25.5" x14ac:dyDescent="0.2">
      <c r="A60" s="147" t="s">
        <v>216</v>
      </c>
      <c r="B60" s="148" t="s">
        <v>217</v>
      </c>
      <c r="C60" s="149">
        <v>48.75</v>
      </c>
      <c r="D60" s="88" t="s">
        <v>188</v>
      </c>
      <c r="E60" s="82" t="s">
        <v>188</v>
      </c>
      <c r="F60" s="88">
        <f t="shared" si="35"/>
        <v>856.9</v>
      </c>
      <c r="G60" s="82">
        <f>RCF!C$5</f>
        <v>17.577000000000002</v>
      </c>
      <c r="H60" s="88">
        <f t="shared" si="36"/>
        <v>870.6</v>
      </c>
      <c r="I60" s="37">
        <f>RCF!C$37</f>
        <v>17.86</v>
      </c>
      <c r="J60" s="88">
        <f t="shared" si="37"/>
        <v>860.9</v>
      </c>
      <c r="K60" s="37">
        <f>RCF!C$7</f>
        <v>17.66</v>
      </c>
      <c r="L60" s="88">
        <f t="shared" si="38"/>
        <v>830.4</v>
      </c>
      <c r="M60" s="37">
        <f>RCF!C$9</f>
        <v>17.033999999999999</v>
      </c>
      <c r="N60" s="88">
        <f t="shared" si="39"/>
        <v>842.2</v>
      </c>
      <c r="O60" s="37">
        <f>RCF!C$11</f>
        <v>17.276</v>
      </c>
      <c r="P60" s="88">
        <f t="shared" si="40"/>
        <v>880.9</v>
      </c>
      <c r="Q60" s="37">
        <f>RCF!C$64</f>
        <v>18.07</v>
      </c>
      <c r="R60" s="150">
        <f t="shared" si="41"/>
        <v>803.4</v>
      </c>
      <c r="S60" s="37">
        <f>RCF!C$13</f>
        <v>16.48</v>
      </c>
      <c r="T60" s="88">
        <f t="shared" si="42"/>
        <v>800</v>
      </c>
      <c r="U60" s="37">
        <f>RCF!C$22</f>
        <v>16.41</v>
      </c>
      <c r="V60" s="88">
        <f t="shared" si="43"/>
        <v>887.7</v>
      </c>
      <c r="W60" s="37">
        <f>RCF!C$26</f>
        <v>18.209999999999997</v>
      </c>
      <c r="X60" s="88">
        <f t="shared" si="44"/>
        <v>902.5</v>
      </c>
      <c r="Y60" s="37">
        <f>RCF!C$33</f>
        <v>18.513999999999999</v>
      </c>
      <c r="Z60" s="88">
        <f t="shared" si="45"/>
        <v>893.2</v>
      </c>
      <c r="AA60" s="37">
        <f>RCF!C$39</f>
        <v>18.323333333333334</v>
      </c>
      <c r="AB60" s="88">
        <f t="shared" si="46"/>
        <v>843.7</v>
      </c>
      <c r="AC60" s="37">
        <f>RCF!C$35</f>
        <v>17.306666666666668</v>
      </c>
      <c r="AD60" s="88">
        <f t="shared" si="47"/>
        <v>857</v>
      </c>
      <c r="AE60" s="82">
        <f>RCF!C$41</f>
        <v>17.579000000000001</v>
      </c>
    </row>
    <row r="61" spans="1:31" s="40" customFormat="1" x14ac:dyDescent="0.2">
      <c r="A61" s="147" t="s">
        <v>218</v>
      </c>
      <c r="B61" s="148" t="s">
        <v>219</v>
      </c>
      <c r="C61" s="149">
        <v>90</v>
      </c>
      <c r="D61" s="88" t="s">
        <v>188</v>
      </c>
      <c r="E61" s="82" t="s">
        <v>188</v>
      </c>
      <c r="F61" s="88">
        <f t="shared" si="35"/>
        <v>1581.9</v>
      </c>
      <c r="G61" s="82">
        <f>RCF!C$5</f>
        <v>17.577000000000002</v>
      </c>
      <c r="H61" s="88">
        <f t="shared" si="36"/>
        <v>1607.4</v>
      </c>
      <c r="I61" s="37">
        <f>RCF!C$37</f>
        <v>17.86</v>
      </c>
      <c r="J61" s="88">
        <f t="shared" si="37"/>
        <v>1589.4</v>
      </c>
      <c r="K61" s="37">
        <f>RCF!C$7</f>
        <v>17.66</v>
      </c>
      <c r="L61" s="88">
        <f t="shared" si="38"/>
        <v>1533.1</v>
      </c>
      <c r="M61" s="37">
        <f>RCF!C$9</f>
        <v>17.033999999999999</v>
      </c>
      <c r="N61" s="88">
        <f t="shared" si="39"/>
        <v>1554.8</v>
      </c>
      <c r="O61" s="37">
        <f>RCF!C$11</f>
        <v>17.276</v>
      </c>
      <c r="P61" s="88">
        <f t="shared" si="40"/>
        <v>1626.3</v>
      </c>
      <c r="Q61" s="37">
        <f>RCF!C$64</f>
        <v>18.07</v>
      </c>
      <c r="R61" s="150">
        <f t="shared" si="41"/>
        <v>1483.2</v>
      </c>
      <c r="S61" s="37">
        <f>RCF!C$13</f>
        <v>16.48</v>
      </c>
      <c r="T61" s="88">
        <f t="shared" si="42"/>
        <v>1476.9</v>
      </c>
      <c r="U61" s="37">
        <f>RCF!C$22</f>
        <v>16.41</v>
      </c>
      <c r="V61" s="88">
        <f t="shared" si="43"/>
        <v>1638.9</v>
      </c>
      <c r="W61" s="37">
        <f>RCF!C$26</f>
        <v>18.209999999999997</v>
      </c>
      <c r="X61" s="88">
        <f t="shared" si="44"/>
        <v>1666.2</v>
      </c>
      <c r="Y61" s="37">
        <f>RCF!C$33</f>
        <v>18.513999999999999</v>
      </c>
      <c r="Z61" s="88">
        <f t="shared" si="45"/>
        <v>1649.1</v>
      </c>
      <c r="AA61" s="37">
        <f>RCF!C$39</f>
        <v>18.323333333333334</v>
      </c>
      <c r="AB61" s="88">
        <f t="shared" si="46"/>
        <v>1557.6</v>
      </c>
      <c r="AC61" s="37">
        <f>RCF!C$35</f>
        <v>17.306666666666668</v>
      </c>
      <c r="AD61" s="88">
        <f t="shared" si="47"/>
        <v>1582.1</v>
      </c>
      <c r="AE61" s="82">
        <f>RCF!C$41</f>
        <v>17.579000000000001</v>
      </c>
    </row>
    <row r="62" spans="1:31" s="40" customFormat="1" x14ac:dyDescent="0.2">
      <c r="A62" s="147" t="s">
        <v>220</v>
      </c>
      <c r="B62" s="148" t="s">
        <v>221</v>
      </c>
      <c r="C62" s="149">
        <v>60</v>
      </c>
      <c r="D62" s="88" t="s">
        <v>188</v>
      </c>
      <c r="E62" s="82" t="s">
        <v>188</v>
      </c>
      <c r="F62" s="88">
        <f t="shared" si="35"/>
        <v>1054.5999999999999</v>
      </c>
      <c r="G62" s="82">
        <f>RCF!C$5</f>
        <v>17.577000000000002</v>
      </c>
      <c r="H62" s="88">
        <f t="shared" si="36"/>
        <v>1071.5999999999999</v>
      </c>
      <c r="I62" s="37">
        <f>RCF!C$37</f>
        <v>17.86</v>
      </c>
      <c r="J62" s="88">
        <f t="shared" si="37"/>
        <v>1059.5999999999999</v>
      </c>
      <c r="K62" s="37">
        <f>RCF!C$7</f>
        <v>17.66</v>
      </c>
      <c r="L62" s="88">
        <f t="shared" si="38"/>
        <v>1022</v>
      </c>
      <c r="M62" s="37">
        <f>RCF!C$9</f>
        <v>17.033999999999999</v>
      </c>
      <c r="N62" s="88">
        <f t="shared" si="39"/>
        <v>1036.5999999999999</v>
      </c>
      <c r="O62" s="37">
        <f>RCF!C$11</f>
        <v>17.276</v>
      </c>
      <c r="P62" s="88">
        <f t="shared" si="40"/>
        <v>1084.2</v>
      </c>
      <c r="Q62" s="37">
        <f>RCF!C$64</f>
        <v>18.07</v>
      </c>
      <c r="R62" s="150">
        <f t="shared" si="41"/>
        <v>988.8</v>
      </c>
      <c r="S62" s="37">
        <f>RCF!C$13</f>
        <v>16.48</v>
      </c>
      <c r="T62" s="88">
        <f t="shared" si="42"/>
        <v>984.6</v>
      </c>
      <c r="U62" s="37">
        <f>RCF!C$22</f>
        <v>16.41</v>
      </c>
      <c r="V62" s="88">
        <f t="shared" si="43"/>
        <v>1092.5999999999999</v>
      </c>
      <c r="W62" s="37">
        <f>RCF!C$26</f>
        <v>18.209999999999997</v>
      </c>
      <c r="X62" s="88">
        <f t="shared" si="44"/>
        <v>1110.8</v>
      </c>
      <c r="Y62" s="37">
        <f>RCF!C$33</f>
        <v>18.513999999999999</v>
      </c>
      <c r="Z62" s="88">
        <f t="shared" si="45"/>
        <v>1099.4000000000001</v>
      </c>
      <c r="AA62" s="37">
        <f>RCF!C$39</f>
        <v>18.323333333333334</v>
      </c>
      <c r="AB62" s="88">
        <f t="shared" si="46"/>
        <v>1038.4000000000001</v>
      </c>
      <c r="AC62" s="37">
        <f>RCF!C$35</f>
        <v>17.306666666666668</v>
      </c>
      <c r="AD62" s="88">
        <f t="shared" si="47"/>
        <v>1054.7</v>
      </c>
      <c r="AE62" s="82">
        <f>RCF!C$41</f>
        <v>17.579000000000001</v>
      </c>
    </row>
    <row r="63" spans="1:31" s="40" customFormat="1" x14ac:dyDescent="0.2">
      <c r="A63" s="147" t="s">
        <v>222</v>
      </c>
      <c r="B63" s="148" t="s">
        <v>223</v>
      </c>
      <c r="C63" s="149">
        <v>50</v>
      </c>
      <c r="D63" s="88" t="s">
        <v>188</v>
      </c>
      <c r="E63" s="82" t="s">
        <v>188</v>
      </c>
      <c r="F63" s="88">
        <f t="shared" si="35"/>
        <v>878.9</v>
      </c>
      <c r="G63" s="82">
        <f>RCF!C$5</f>
        <v>17.577000000000002</v>
      </c>
      <c r="H63" s="88">
        <f t="shared" si="36"/>
        <v>893</v>
      </c>
      <c r="I63" s="37">
        <f>RCF!C$37</f>
        <v>17.86</v>
      </c>
      <c r="J63" s="88">
        <f t="shared" si="37"/>
        <v>883</v>
      </c>
      <c r="K63" s="37">
        <f>RCF!C$7</f>
        <v>17.66</v>
      </c>
      <c r="L63" s="88">
        <f t="shared" si="38"/>
        <v>851.7</v>
      </c>
      <c r="M63" s="37">
        <f>RCF!C$9</f>
        <v>17.033999999999999</v>
      </c>
      <c r="N63" s="88">
        <f t="shared" si="39"/>
        <v>863.8</v>
      </c>
      <c r="O63" s="37">
        <f>RCF!C$11</f>
        <v>17.276</v>
      </c>
      <c r="P63" s="88">
        <f t="shared" si="40"/>
        <v>903.5</v>
      </c>
      <c r="Q63" s="37">
        <f>RCF!C$64</f>
        <v>18.07</v>
      </c>
      <c r="R63" s="150">
        <f t="shared" si="41"/>
        <v>824</v>
      </c>
      <c r="S63" s="37">
        <f>RCF!C$13</f>
        <v>16.48</v>
      </c>
      <c r="T63" s="88">
        <f t="shared" si="42"/>
        <v>820.5</v>
      </c>
      <c r="U63" s="37">
        <f>RCF!C$22</f>
        <v>16.41</v>
      </c>
      <c r="V63" s="88">
        <f t="shared" si="43"/>
        <v>910.5</v>
      </c>
      <c r="W63" s="37">
        <f>RCF!C$26</f>
        <v>18.209999999999997</v>
      </c>
      <c r="X63" s="88">
        <f t="shared" si="44"/>
        <v>925.7</v>
      </c>
      <c r="Y63" s="37">
        <f>RCF!C$33</f>
        <v>18.513999999999999</v>
      </c>
      <c r="Z63" s="88">
        <f t="shared" si="45"/>
        <v>916.1</v>
      </c>
      <c r="AA63" s="37">
        <f>RCF!C$39</f>
        <v>18.323333333333334</v>
      </c>
      <c r="AB63" s="88">
        <f t="shared" si="46"/>
        <v>865.3</v>
      </c>
      <c r="AC63" s="37">
        <f>RCF!C$35</f>
        <v>17.306666666666668</v>
      </c>
      <c r="AD63" s="88">
        <f t="shared" si="47"/>
        <v>879</v>
      </c>
      <c r="AE63" s="82">
        <f>RCF!C$41</f>
        <v>17.579000000000001</v>
      </c>
    </row>
    <row r="64" spans="1:31" s="40" customFormat="1" x14ac:dyDescent="0.2">
      <c r="A64" s="147" t="s">
        <v>224</v>
      </c>
      <c r="B64" s="148" t="s">
        <v>225</v>
      </c>
      <c r="C64" s="149">
        <v>50</v>
      </c>
      <c r="D64" s="88" t="s">
        <v>188</v>
      </c>
      <c r="E64" s="82" t="s">
        <v>188</v>
      </c>
      <c r="F64" s="88">
        <f t="shared" si="35"/>
        <v>878.9</v>
      </c>
      <c r="G64" s="82">
        <f>RCF!C$5</f>
        <v>17.577000000000002</v>
      </c>
      <c r="H64" s="88">
        <f t="shared" si="36"/>
        <v>893</v>
      </c>
      <c r="I64" s="37">
        <f>RCF!C$37</f>
        <v>17.86</v>
      </c>
      <c r="J64" s="88">
        <f t="shared" si="37"/>
        <v>883</v>
      </c>
      <c r="K64" s="37">
        <f>RCF!C$7</f>
        <v>17.66</v>
      </c>
      <c r="L64" s="88">
        <f t="shared" si="38"/>
        <v>851.7</v>
      </c>
      <c r="M64" s="37">
        <f>RCF!C$9</f>
        <v>17.033999999999999</v>
      </c>
      <c r="N64" s="88">
        <f t="shared" si="39"/>
        <v>863.8</v>
      </c>
      <c r="O64" s="37">
        <f>RCF!C$11</f>
        <v>17.276</v>
      </c>
      <c r="P64" s="88">
        <f t="shared" si="40"/>
        <v>903.5</v>
      </c>
      <c r="Q64" s="37">
        <f>RCF!C$64</f>
        <v>18.07</v>
      </c>
      <c r="R64" s="150">
        <f t="shared" si="41"/>
        <v>824</v>
      </c>
      <c r="S64" s="37">
        <f>RCF!C$13</f>
        <v>16.48</v>
      </c>
      <c r="T64" s="88">
        <f t="shared" si="42"/>
        <v>820.5</v>
      </c>
      <c r="U64" s="37">
        <f>RCF!C$22</f>
        <v>16.41</v>
      </c>
      <c r="V64" s="88">
        <f t="shared" si="43"/>
        <v>910.5</v>
      </c>
      <c r="W64" s="37">
        <f>RCF!C$26</f>
        <v>18.209999999999997</v>
      </c>
      <c r="X64" s="88">
        <f t="shared" si="44"/>
        <v>925.7</v>
      </c>
      <c r="Y64" s="37">
        <f>RCF!C$33</f>
        <v>18.513999999999999</v>
      </c>
      <c r="Z64" s="88">
        <f t="shared" si="45"/>
        <v>916.1</v>
      </c>
      <c r="AA64" s="37">
        <f>RCF!C$39</f>
        <v>18.323333333333334</v>
      </c>
      <c r="AB64" s="88">
        <f t="shared" si="46"/>
        <v>865.3</v>
      </c>
      <c r="AC64" s="37">
        <f>RCF!C$35</f>
        <v>17.306666666666668</v>
      </c>
      <c r="AD64" s="88">
        <f t="shared" si="47"/>
        <v>879</v>
      </c>
      <c r="AE64" s="82">
        <f>RCF!C$41</f>
        <v>17.579000000000001</v>
      </c>
    </row>
    <row r="65" spans="1:31" x14ac:dyDescent="0.2">
      <c r="A65" s="147" t="s">
        <v>226</v>
      </c>
      <c r="B65" s="148" t="s">
        <v>227</v>
      </c>
      <c r="C65" s="149">
        <v>94</v>
      </c>
      <c r="D65" s="88" t="s">
        <v>188</v>
      </c>
      <c r="E65" s="82" t="s">
        <v>188</v>
      </c>
      <c r="F65" s="88">
        <f t="shared" si="35"/>
        <v>1652.2</v>
      </c>
      <c r="G65" s="82">
        <f>RCF!C$5</f>
        <v>17.577000000000002</v>
      </c>
      <c r="H65" s="88">
        <f t="shared" si="36"/>
        <v>1678.8</v>
      </c>
      <c r="I65" s="37">
        <f>RCF!C$37</f>
        <v>17.86</v>
      </c>
      <c r="J65" s="88">
        <f t="shared" si="37"/>
        <v>1660</v>
      </c>
      <c r="K65" s="37">
        <f>RCF!C$7</f>
        <v>17.66</v>
      </c>
      <c r="L65" s="88">
        <f t="shared" si="38"/>
        <v>1601.2</v>
      </c>
      <c r="M65" s="37">
        <f>RCF!C$9</f>
        <v>17.033999999999999</v>
      </c>
      <c r="N65" s="88">
        <f t="shared" si="39"/>
        <v>1623.9</v>
      </c>
      <c r="O65" s="37">
        <f>RCF!C$11</f>
        <v>17.276</v>
      </c>
      <c r="P65" s="88">
        <f t="shared" si="40"/>
        <v>1698.5</v>
      </c>
      <c r="Q65" s="37">
        <f>RCF!C$64</f>
        <v>18.07</v>
      </c>
      <c r="R65" s="150">
        <f t="shared" si="41"/>
        <v>1549.1</v>
      </c>
      <c r="S65" s="37">
        <f>RCF!C$13</f>
        <v>16.48</v>
      </c>
      <c r="T65" s="88">
        <f t="shared" si="42"/>
        <v>1542.5</v>
      </c>
      <c r="U65" s="37">
        <f>RCF!C$22</f>
        <v>16.41</v>
      </c>
      <c r="V65" s="88">
        <f t="shared" si="43"/>
        <v>1711.7</v>
      </c>
      <c r="W65" s="37">
        <f>RCF!C$26</f>
        <v>18.209999999999997</v>
      </c>
      <c r="X65" s="88">
        <f t="shared" si="44"/>
        <v>1740.3</v>
      </c>
      <c r="Y65" s="37">
        <f>RCF!C$33</f>
        <v>18.513999999999999</v>
      </c>
      <c r="Z65" s="88">
        <f t="shared" si="45"/>
        <v>1722.3</v>
      </c>
      <c r="AA65" s="37">
        <f>RCF!C$39</f>
        <v>18.323333333333334</v>
      </c>
      <c r="AB65" s="88">
        <f t="shared" si="46"/>
        <v>1626.8</v>
      </c>
      <c r="AC65" s="37">
        <f>RCF!C$35</f>
        <v>17.306666666666668</v>
      </c>
      <c r="AD65" s="88">
        <f t="shared" si="47"/>
        <v>1652.4</v>
      </c>
      <c r="AE65" s="82">
        <f>RCF!C$41</f>
        <v>17.579000000000001</v>
      </c>
    </row>
    <row r="66" spans="1:31" ht="25.5" x14ac:dyDescent="0.2">
      <c r="A66" s="147" t="s">
        <v>33</v>
      </c>
      <c r="B66" s="148" t="s">
        <v>228</v>
      </c>
      <c r="C66" s="149">
        <v>282</v>
      </c>
      <c r="D66" s="88" t="s">
        <v>188</v>
      </c>
      <c r="E66" s="82" t="s">
        <v>188</v>
      </c>
      <c r="F66" s="88">
        <f t="shared" ref="F66:F82" si="48">ROUND(G66*$C66,1)</f>
        <v>4956.7</v>
      </c>
      <c r="G66" s="82">
        <f>RCF!C$5</f>
        <v>17.577000000000002</v>
      </c>
      <c r="H66" s="88">
        <f t="shared" ref="H66:H82" si="49">ROUNDDOWN(I66*C66,1)</f>
        <v>5036.5</v>
      </c>
      <c r="I66" s="37">
        <f>RCF!C$37</f>
        <v>17.86</v>
      </c>
      <c r="J66" s="88">
        <f t="shared" ref="J66:J82" si="50">ROUNDDOWN(C66*K66,1)</f>
        <v>4980.1000000000004</v>
      </c>
      <c r="K66" s="37">
        <f>RCF!C$7</f>
        <v>17.66</v>
      </c>
      <c r="L66" s="88">
        <f t="shared" si="38"/>
        <v>4803.6000000000004</v>
      </c>
      <c r="M66" s="37">
        <f>RCF!C$9</f>
        <v>17.033999999999999</v>
      </c>
      <c r="N66" s="88">
        <f t="shared" si="39"/>
        <v>4871.8</v>
      </c>
      <c r="O66" s="37">
        <f>RCF!C$11</f>
        <v>17.276</v>
      </c>
      <c r="P66" s="88">
        <f t="shared" si="40"/>
        <v>5095.7</v>
      </c>
      <c r="Q66" s="37">
        <f>RCF!C$64</f>
        <v>18.07</v>
      </c>
      <c r="R66" s="150">
        <f t="shared" ref="R66:R82" si="51">ROUNDDOWN(C66*S66,1)</f>
        <v>4647.3</v>
      </c>
      <c r="S66" s="37">
        <f>RCF!C$13</f>
        <v>16.48</v>
      </c>
      <c r="T66" s="88">
        <f t="shared" si="42"/>
        <v>4627.6000000000004</v>
      </c>
      <c r="U66" s="37">
        <f>RCF!C$22</f>
        <v>16.41</v>
      </c>
      <c r="V66" s="88">
        <f t="shared" ref="V66:V82" si="52">ROUND(W66*C66,1)</f>
        <v>5135.2</v>
      </c>
      <c r="W66" s="37">
        <f>RCF!C$26</f>
        <v>18.209999999999997</v>
      </c>
      <c r="X66" s="88">
        <f t="shared" ref="X66:X82" si="53">ROUNDDOWN(Y66*C66,1)</f>
        <v>5220.8999999999996</v>
      </c>
      <c r="Y66" s="37">
        <f>RCF!C$33</f>
        <v>18.513999999999999</v>
      </c>
      <c r="Z66" s="88">
        <f t="shared" ref="Z66:Z82" si="54">ROUNDDOWN(AA66*C66,1)</f>
        <v>5167.1000000000004</v>
      </c>
      <c r="AA66" s="37">
        <f>RCF!C$39</f>
        <v>18.323333333333334</v>
      </c>
      <c r="AB66" s="88">
        <f t="shared" ref="AB66:AB82" si="55">ROUNDDOWN(C66*AC66,1)</f>
        <v>4880.3999999999996</v>
      </c>
      <c r="AC66" s="37">
        <f>RCF!C$35</f>
        <v>17.306666666666668</v>
      </c>
      <c r="AD66" s="88">
        <f t="shared" ref="AD66:AD82" si="56">ROUND(AE66*C66,1)</f>
        <v>4957.3</v>
      </c>
      <c r="AE66" s="82">
        <f>RCF!C$41</f>
        <v>17.579000000000001</v>
      </c>
    </row>
    <row r="67" spans="1:31" ht="25.5" x14ac:dyDescent="0.2">
      <c r="A67" s="147" t="s">
        <v>26</v>
      </c>
      <c r="B67" s="148" t="s">
        <v>229</v>
      </c>
      <c r="C67" s="149">
        <v>267</v>
      </c>
      <c r="D67" s="88" t="s">
        <v>188</v>
      </c>
      <c r="E67" s="82" t="s">
        <v>188</v>
      </c>
      <c r="F67" s="88">
        <f t="shared" si="48"/>
        <v>4693.1000000000004</v>
      </c>
      <c r="G67" s="82">
        <f>RCF!C$5</f>
        <v>17.577000000000002</v>
      </c>
      <c r="H67" s="88">
        <f t="shared" si="49"/>
        <v>4768.6000000000004</v>
      </c>
      <c r="I67" s="37">
        <f>RCF!C$37</f>
        <v>17.86</v>
      </c>
      <c r="J67" s="88">
        <f t="shared" si="50"/>
        <v>4715.2</v>
      </c>
      <c r="K67" s="37">
        <f>RCF!C$7</f>
        <v>17.66</v>
      </c>
      <c r="L67" s="88">
        <f t="shared" ref="L67:L82" si="57">ROUND(M67*$C67,1)</f>
        <v>4548.1000000000004</v>
      </c>
      <c r="M67" s="37">
        <f>RCF!C$9</f>
        <v>17.033999999999999</v>
      </c>
      <c r="N67" s="88">
        <f t="shared" ref="N67:N82" si="58">ROUND(O67*$C67,1)</f>
        <v>4612.7</v>
      </c>
      <c r="O67" s="37">
        <f>RCF!C$11</f>
        <v>17.276</v>
      </c>
      <c r="P67" s="88">
        <f t="shared" si="40"/>
        <v>4824.6000000000004</v>
      </c>
      <c r="Q67" s="37">
        <f>RCF!C$64</f>
        <v>18.07</v>
      </c>
      <c r="R67" s="150">
        <f t="shared" si="51"/>
        <v>4400.1000000000004</v>
      </c>
      <c r="S67" s="37">
        <f>RCF!C$13</f>
        <v>16.48</v>
      </c>
      <c r="T67" s="88">
        <f t="shared" ref="T67:T82" si="59">ROUND(U67*C67,1)</f>
        <v>4381.5</v>
      </c>
      <c r="U67" s="37">
        <f>RCF!C$22</f>
        <v>16.41</v>
      </c>
      <c r="V67" s="88">
        <f t="shared" si="52"/>
        <v>4862.1000000000004</v>
      </c>
      <c r="W67" s="37">
        <f>RCF!C$26</f>
        <v>18.209999999999997</v>
      </c>
      <c r="X67" s="88">
        <f t="shared" si="53"/>
        <v>4943.2</v>
      </c>
      <c r="Y67" s="37">
        <f>RCF!C$33</f>
        <v>18.513999999999999</v>
      </c>
      <c r="Z67" s="88">
        <f t="shared" si="54"/>
        <v>4892.3</v>
      </c>
      <c r="AA67" s="37">
        <f>RCF!C$39</f>
        <v>18.323333333333334</v>
      </c>
      <c r="AB67" s="88">
        <f t="shared" si="55"/>
        <v>4620.8</v>
      </c>
      <c r="AC67" s="37">
        <f>RCF!C$35</f>
        <v>17.306666666666668</v>
      </c>
      <c r="AD67" s="88">
        <f t="shared" si="56"/>
        <v>4693.6000000000004</v>
      </c>
      <c r="AE67" s="82">
        <f>RCF!C$41</f>
        <v>17.579000000000001</v>
      </c>
    </row>
    <row r="68" spans="1:31" x14ac:dyDescent="0.2">
      <c r="A68" s="147" t="s">
        <v>230</v>
      </c>
      <c r="B68" s="148" t="s">
        <v>231</v>
      </c>
      <c r="C68" s="149">
        <v>25</v>
      </c>
      <c r="D68" s="88" t="s">
        <v>188</v>
      </c>
      <c r="E68" s="82" t="s">
        <v>188</v>
      </c>
      <c r="F68" s="88">
        <f t="shared" si="48"/>
        <v>439.4</v>
      </c>
      <c r="G68" s="82">
        <f>RCF!C$5</f>
        <v>17.577000000000002</v>
      </c>
      <c r="H68" s="88">
        <f t="shared" si="49"/>
        <v>446.5</v>
      </c>
      <c r="I68" s="37">
        <f>RCF!C$37</f>
        <v>17.86</v>
      </c>
      <c r="J68" s="88">
        <f t="shared" si="50"/>
        <v>441.5</v>
      </c>
      <c r="K68" s="37">
        <f>RCF!C$7</f>
        <v>17.66</v>
      </c>
      <c r="L68" s="88">
        <f t="shared" si="57"/>
        <v>425.9</v>
      </c>
      <c r="M68" s="37">
        <f>RCF!C$9</f>
        <v>17.033999999999999</v>
      </c>
      <c r="N68" s="88">
        <f t="shared" si="58"/>
        <v>431.9</v>
      </c>
      <c r="O68" s="37">
        <f>RCF!C$11</f>
        <v>17.276</v>
      </c>
      <c r="P68" s="88">
        <f t="shared" si="40"/>
        <v>451.7</v>
      </c>
      <c r="Q68" s="37">
        <f>RCF!C$64</f>
        <v>18.07</v>
      </c>
      <c r="R68" s="150">
        <f t="shared" si="51"/>
        <v>412</v>
      </c>
      <c r="S68" s="37">
        <f>RCF!C$13</f>
        <v>16.48</v>
      </c>
      <c r="T68" s="88">
        <f t="shared" si="59"/>
        <v>410.3</v>
      </c>
      <c r="U68" s="37">
        <f>RCF!C$22</f>
        <v>16.41</v>
      </c>
      <c r="V68" s="88">
        <f t="shared" si="52"/>
        <v>455.3</v>
      </c>
      <c r="W68" s="37">
        <f>RCF!C$26</f>
        <v>18.209999999999997</v>
      </c>
      <c r="X68" s="88">
        <f t="shared" si="53"/>
        <v>462.8</v>
      </c>
      <c r="Y68" s="37">
        <f>RCF!C$33</f>
        <v>18.513999999999999</v>
      </c>
      <c r="Z68" s="88">
        <f t="shared" si="54"/>
        <v>458</v>
      </c>
      <c r="AA68" s="37">
        <f>RCF!C$39</f>
        <v>18.323333333333334</v>
      </c>
      <c r="AB68" s="88">
        <f t="shared" si="55"/>
        <v>432.6</v>
      </c>
      <c r="AC68" s="37">
        <f>RCF!C$35</f>
        <v>17.306666666666668</v>
      </c>
      <c r="AD68" s="88">
        <f t="shared" si="56"/>
        <v>439.5</v>
      </c>
      <c r="AE68" s="82">
        <f>RCF!C$41</f>
        <v>17.579000000000001</v>
      </c>
    </row>
    <row r="69" spans="1:31" ht="25.5" x14ac:dyDescent="0.2">
      <c r="A69" s="147" t="s">
        <v>134</v>
      </c>
      <c r="B69" s="148" t="s">
        <v>232</v>
      </c>
      <c r="C69" s="149">
        <v>50</v>
      </c>
      <c r="D69" s="88" t="s">
        <v>188</v>
      </c>
      <c r="E69" s="82" t="s">
        <v>188</v>
      </c>
      <c r="F69" s="88">
        <f t="shared" si="48"/>
        <v>878.9</v>
      </c>
      <c r="G69" s="82">
        <f>RCF!C$5</f>
        <v>17.577000000000002</v>
      </c>
      <c r="H69" s="88">
        <f t="shared" si="49"/>
        <v>893</v>
      </c>
      <c r="I69" s="37">
        <f>RCF!C$37</f>
        <v>17.86</v>
      </c>
      <c r="J69" s="88">
        <f t="shared" si="50"/>
        <v>883</v>
      </c>
      <c r="K69" s="37">
        <f>RCF!C$7</f>
        <v>17.66</v>
      </c>
      <c r="L69" s="88">
        <f t="shared" si="57"/>
        <v>851.7</v>
      </c>
      <c r="M69" s="37">
        <f>RCF!C$9</f>
        <v>17.033999999999999</v>
      </c>
      <c r="N69" s="88">
        <f t="shared" si="58"/>
        <v>863.8</v>
      </c>
      <c r="O69" s="37">
        <f>RCF!C$11</f>
        <v>17.276</v>
      </c>
      <c r="P69" s="88">
        <f t="shared" si="40"/>
        <v>903.5</v>
      </c>
      <c r="Q69" s="37">
        <f>RCF!C$64</f>
        <v>18.07</v>
      </c>
      <c r="R69" s="150">
        <f t="shared" si="51"/>
        <v>824</v>
      </c>
      <c r="S69" s="37">
        <f>RCF!C$13</f>
        <v>16.48</v>
      </c>
      <c r="T69" s="88">
        <f t="shared" si="59"/>
        <v>820.5</v>
      </c>
      <c r="U69" s="37">
        <f>RCF!C$22</f>
        <v>16.41</v>
      </c>
      <c r="V69" s="88">
        <f t="shared" si="52"/>
        <v>910.5</v>
      </c>
      <c r="W69" s="37">
        <f>RCF!C$26</f>
        <v>18.209999999999997</v>
      </c>
      <c r="X69" s="88">
        <f t="shared" si="53"/>
        <v>925.7</v>
      </c>
      <c r="Y69" s="37">
        <f>RCF!C$33</f>
        <v>18.513999999999999</v>
      </c>
      <c r="Z69" s="88">
        <f t="shared" si="54"/>
        <v>916.1</v>
      </c>
      <c r="AA69" s="37">
        <f>RCF!C$39</f>
        <v>18.323333333333334</v>
      </c>
      <c r="AB69" s="88">
        <f t="shared" si="55"/>
        <v>865.3</v>
      </c>
      <c r="AC69" s="37">
        <f>RCF!C$35</f>
        <v>17.306666666666668</v>
      </c>
      <c r="AD69" s="88">
        <f t="shared" si="56"/>
        <v>879</v>
      </c>
      <c r="AE69" s="82">
        <f>RCF!C$41</f>
        <v>17.579000000000001</v>
      </c>
    </row>
    <row r="70" spans="1:31" x14ac:dyDescent="0.2">
      <c r="A70" s="147" t="s">
        <v>135</v>
      </c>
      <c r="B70" s="148" t="s">
        <v>70</v>
      </c>
      <c r="C70" s="149">
        <v>50</v>
      </c>
      <c r="D70" s="88" t="s">
        <v>188</v>
      </c>
      <c r="E70" s="82" t="s">
        <v>188</v>
      </c>
      <c r="F70" s="88">
        <f t="shared" si="48"/>
        <v>878.9</v>
      </c>
      <c r="G70" s="82">
        <f>RCF!C$5</f>
        <v>17.577000000000002</v>
      </c>
      <c r="H70" s="88">
        <f t="shared" si="49"/>
        <v>893</v>
      </c>
      <c r="I70" s="37">
        <f>RCF!C$37</f>
        <v>17.86</v>
      </c>
      <c r="J70" s="88">
        <f t="shared" si="50"/>
        <v>883</v>
      </c>
      <c r="K70" s="37">
        <f>RCF!C$7</f>
        <v>17.66</v>
      </c>
      <c r="L70" s="88">
        <f t="shared" si="57"/>
        <v>851.7</v>
      </c>
      <c r="M70" s="37">
        <f>RCF!C$9</f>
        <v>17.033999999999999</v>
      </c>
      <c r="N70" s="88">
        <f t="shared" si="58"/>
        <v>863.8</v>
      </c>
      <c r="O70" s="37">
        <f>RCF!C$11</f>
        <v>17.276</v>
      </c>
      <c r="P70" s="88">
        <f t="shared" si="40"/>
        <v>903.5</v>
      </c>
      <c r="Q70" s="37">
        <f>RCF!C$64</f>
        <v>18.07</v>
      </c>
      <c r="R70" s="150">
        <f t="shared" si="51"/>
        <v>824</v>
      </c>
      <c r="S70" s="37">
        <f>RCF!C$13</f>
        <v>16.48</v>
      </c>
      <c r="T70" s="88">
        <f t="shared" si="59"/>
        <v>820.5</v>
      </c>
      <c r="U70" s="37">
        <f>RCF!C$22</f>
        <v>16.41</v>
      </c>
      <c r="V70" s="88">
        <f t="shared" si="52"/>
        <v>910.5</v>
      </c>
      <c r="W70" s="37">
        <f>RCF!C$26</f>
        <v>18.209999999999997</v>
      </c>
      <c r="X70" s="88">
        <f t="shared" si="53"/>
        <v>925.7</v>
      </c>
      <c r="Y70" s="37">
        <f>RCF!C$33</f>
        <v>18.513999999999999</v>
      </c>
      <c r="Z70" s="88">
        <f t="shared" si="54"/>
        <v>916.1</v>
      </c>
      <c r="AA70" s="37">
        <f>RCF!C$39</f>
        <v>18.323333333333334</v>
      </c>
      <c r="AB70" s="88">
        <f t="shared" si="55"/>
        <v>865.3</v>
      </c>
      <c r="AC70" s="37">
        <f>RCF!C$35</f>
        <v>17.306666666666668</v>
      </c>
      <c r="AD70" s="88">
        <f t="shared" si="56"/>
        <v>879</v>
      </c>
      <c r="AE70" s="82">
        <f>RCF!C$41</f>
        <v>17.579000000000001</v>
      </c>
    </row>
    <row r="71" spans="1:31" ht="25.5" x14ac:dyDescent="0.2">
      <c r="A71" s="147" t="s">
        <v>136</v>
      </c>
      <c r="B71" s="148" t="s">
        <v>233</v>
      </c>
      <c r="C71" s="149">
        <v>40</v>
      </c>
      <c r="D71" s="88" t="s">
        <v>188</v>
      </c>
      <c r="E71" s="82" t="s">
        <v>188</v>
      </c>
      <c r="F71" s="88">
        <f t="shared" si="48"/>
        <v>703.1</v>
      </c>
      <c r="G71" s="82">
        <f>RCF!C$5</f>
        <v>17.577000000000002</v>
      </c>
      <c r="H71" s="88">
        <f t="shared" si="49"/>
        <v>714.4</v>
      </c>
      <c r="I71" s="37">
        <f>RCF!C$37</f>
        <v>17.86</v>
      </c>
      <c r="J71" s="88">
        <f t="shared" si="50"/>
        <v>706.4</v>
      </c>
      <c r="K71" s="37">
        <f>RCF!C$7</f>
        <v>17.66</v>
      </c>
      <c r="L71" s="88">
        <f t="shared" si="57"/>
        <v>681.4</v>
      </c>
      <c r="M71" s="37">
        <f>RCF!C$9</f>
        <v>17.033999999999999</v>
      </c>
      <c r="N71" s="88">
        <f t="shared" si="58"/>
        <v>691</v>
      </c>
      <c r="O71" s="37">
        <f>RCF!C$11</f>
        <v>17.276</v>
      </c>
      <c r="P71" s="88">
        <f t="shared" si="40"/>
        <v>722.8</v>
      </c>
      <c r="Q71" s="37">
        <f>RCF!C$64</f>
        <v>18.07</v>
      </c>
      <c r="R71" s="150">
        <f t="shared" si="51"/>
        <v>659.2</v>
      </c>
      <c r="S71" s="37">
        <f>RCF!C$13</f>
        <v>16.48</v>
      </c>
      <c r="T71" s="88">
        <f t="shared" si="59"/>
        <v>656.4</v>
      </c>
      <c r="U71" s="37">
        <f>RCF!C$22</f>
        <v>16.41</v>
      </c>
      <c r="V71" s="88">
        <f t="shared" si="52"/>
        <v>728.4</v>
      </c>
      <c r="W71" s="37">
        <f>RCF!C$26</f>
        <v>18.209999999999997</v>
      </c>
      <c r="X71" s="88">
        <f t="shared" si="53"/>
        <v>740.5</v>
      </c>
      <c r="Y71" s="37">
        <f>RCF!C$33</f>
        <v>18.513999999999999</v>
      </c>
      <c r="Z71" s="88">
        <f t="shared" si="54"/>
        <v>732.9</v>
      </c>
      <c r="AA71" s="37">
        <f>RCF!C$39</f>
        <v>18.323333333333334</v>
      </c>
      <c r="AB71" s="88">
        <f t="shared" si="55"/>
        <v>692.2</v>
      </c>
      <c r="AC71" s="37">
        <f>RCF!C$35</f>
        <v>17.306666666666668</v>
      </c>
      <c r="AD71" s="88">
        <f t="shared" si="56"/>
        <v>703.2</v>
      </c>
      <c r="AE71" s="82">
        <f>RCF!C$41</f>
        <v>17.579000000000001</v>
      </c>
    </row>
    <row r="72" spans="1:31" x14ac:dyDescent="0.2">
      <c r="A72" s="183" t="s">
        <v>234</v>
      </c>
      <c r="B72" s="148" t="s">
        <v>235</v>
      </c>
      <c r="C72" s="149">
        <v>50</v>
      </c>
      <c r="D72" s="88" t="s">
        <v>188</v>
      </c>
      <c r="E72" s="37" t="s">
        <v>188</v>
      </c>
      <c r="F72" s="88">
        <f t="shared" si="48"/>
        <v>878.9</v>
      </c>
      <c r="G72" s="82">
        <f>RCF!C$5</f>
        <v>17.577000000000002</v>
      </c>
      <c r="H72" s="88">
        <f t="shared" si="49"/>
        <v>893</v>
      </c>
      <c r="I72" s="37">
        <f>RCF!C$37</f>
        <v>17.86</v>
      </c>
      <c r="J72" s="88">
        <f t="shared" si="50"/>
        <v>883</v>
      </c>
      <c r="K72" s="37">
        <f>RCF!C$7</f>
        <v>17.66</v>
      </c>
      <c r="L72" s="88">
        <f t="shared" si="57"/>
        <v>851.7</v>
      </c>
      <c r="M72" s="37">
        <f>RCF!C$9</f>
        <v>17.033999999999999</v>
      </c>
      <c r="N72" s="88">
        <f t="shared" si="58"/>
        <v>863.8</v>
      </c>
      <c r="O72" s="37">
        <f>RCF!C$11</f>
        <v>17.276</v>
      </c>
      <c r="P72" s="88">
        <f t="shared" si="40"/>
        <v>903.5</v>
      </c>
      <c r="Q72" s="37">
        <f>RCF!C$64</f>
        <v>18.07</v>
      </c>
      <c r="R72" s="150">
        <f t="shared" si="51"/>
        <v>824</v>
      </c>
      <c r="S72" s="37">
        <f>RCF!C$13</f>
        <v>16.48</v>
      </c>
      <c r="T72" s="88">
        <f t="shared" si="59"/>
        <v>820.5</v>
      </c>
      <c r="U72" s="37">
        <f>RCF!C$22</f>
        <v>16.41</v>
      </c>
      <c r="V72" s="88">
        <f t="shared" si="52"/>
        <v>910.5</v>
      </c>
      <c r="W72" s="37">
        <f>RCF!C$26</f>
        <v>18.209999999999997</v>
      </c>
      <c r="X72" s="88">
        <f t="shared" si="53"/>
        <v>925.7</v>
      </c>
      <c r="Y72" s="37">
        <f>RCF!C$33</f>
        <v>18.513999999999999</v>
      </c>
      <c r="Z72" s="88">
        <f t="shared" si="54"/>
        <v>916.1</v>
      </c>
      <c r="AA72" s="37">
        <f>RCF!C$39</f>
        <v>18.323333333333334</v>
      </c>
      <c r="AB72" s="88">
        <f t="shared" si="55"/>
        <v>865.3</v>
      </c>
      <c r="AC72" s="37">
        <f>RCF!C$35</f>
        <v>17.306666666666668</v>
      </c>
      <c r="AD72" s="88">
        <f t="shared" si="56"/>
        <v>879</v>
      </c>
      <c r="AE72" s="82">
        <f>RCF!C$41</f>
        <v>17.579000000000001</v>
      </c>
    </row>
    <row r="73" spans="1:31" ht="25.5" x14ac:dyDescent="0.2">
      <c r="A73" s="183" t="s">
        <v>137</v>
      </c>
      <c r="B73" s="148" t="s">
        <v>236</v>
      </c>
      <c r="C73" s="149">
        <v>60</v>
      </c>
      <c r="D73" s="88" t="s">
        <v>188</v>
      </c>
      <c r="E73" s="37" t="s">
        <v>188</v>
      </c>
      <c r="F73" s="88">
        <f t="shared" si="48"/>
        <v>1054.5999999999999</v>
      </c>
      <c r="G73" s="82">
        <f>RCF!C$5</f>
        <v>17.577000000000002</v>
      </c>
      <c r="H73" s="88">
        <f t="shared" si="49"/>
        <v>1071.5999999999999</v>
      </c>
      <c r="I73" s="37">
        <f>RCF!C$37</f>
        <v>17.86</v>
      </c>
      <c r="J73" s="88">
        <f t="shared" si="50"/>
        <v>1059.5999999999999</v>
      </c>
      <c r="K73" s="37">
        <f>RCF!C$7</f>
        <v>17.66</v>
      </c>
      <c r="L73" s="88">
        <f t="shared" si="57"/>
        <v>1022</v>
      </c>
      <c r="M73" s="37">
        <f>RCF!C$9</f>
        <v>17.033999999999999</v>
      </c>
      <c r="N73" s="88">
        <f t="shared" si="58"/>
        <v>1036.5999999999999</v>
      </c>
      <c r="O73" s="37">
        <f>RCF!C$11</f>
        <v>17.276</v>
      </c>
      <c r="P73" s="88">
        <f t="shared" si="40"/>
        <v>1084.2</v>
      </c>
      <c r="Q73" s="37">
        <f>RCF!C$64</f>
        <v>18.07</v>
      </c>
      <c r="R73" s="150">
        <f t="shared" si="51"/>
        <v>988.8</v>
      </c>
      <c r="S73" s="37">
        <f>RCF!C$13</f>
        <v>16.48</v>
      </c>
      <c r="T73" s="88">
        <f t="shared" si="59"/>
        <v>984.6</v>
      </c>
      <c r="U73" s="37">
        <f>RCF!C$22</f>
        <v>16.41</v>
      </c>
      <c r="V73" s="88">
        <f t="shared" si="52"/>
        <v>1092.5999999999999</v>
      </c>
      <c r="W73" s="37">
        <f>RCF!C$26</f>
        <v>18.209999999999997</v>
      </c>
      <c r="X73" s="88">
        <f t="shared" si="53"/>
        <v>1110.8</v>
      </c>
      <c r="Y73" s="37">
        <f>RCF!C$33</f>
        <v>18.513999999999999</v>
      </c>
      <c r="Z73" s="88">
        <f t="shared" si="54"/>
        <v>1099.4000000000001</v>
      </c>
      <c r="AA73" s="37">
        <f>RCF!C$39</f>
        <v>18.323333333333334</v>
      </c>
      <c r="AB73" s="88">
        <f t="shared" si="55"/>
        <v>1038.4000000000001</v>
      </c>
      <c r="AC73" s="37">
        <f>RCF!C$35</f>
        <v>17.306666666666668</v>
      </c>
      <c r="AD73" s="88">
        <f t="shared" si="56"/>
        <v>1054.7</v>
      </c>
      <c r="AE73" s="82">
        <f>RCF!C$41</f>
        <v>17.579000000000001</v>
      </c>
    </row>
    <row r="74" spans="1:31" x14ac:dyDescent="0.2">
      <c r="A74" s="183" t="s">
        <v>237</v>
      </c>
      <c r="B74" s="148" t="s">
        <v>238</v>
      </c>
      <c r="C74" s="149">
        <v>39</v>
      </c>
      <c r="D74" s="88" t="s">
        <v>188</v>
      </c>
      <c r="E74" s="37" t="s">
        <v>188</v>
      </c>
      <c r="F74" s="88">
        <f t="shared" si="48"/>
        <v>685.5</v>
      </c>
      <c r="G74" s="82">
        <f>RCF!C$5</f>
        <v>17.577000000000002</v>
      </c>
      <c r="H74" s="88">
        <f t="shared" si="49"/>
        <v>696.5</v>
      </c>
      <c r="I74" s="37">
        <f>RCF!C$37</f>
        <v>17.86</v>
      </c>
      <c r="J74" s="88">
        <f t="shared" si="50"/>
        <v>688.7</v>
      </c>
      <c r="K74" s="37">
        <f>RCF!C$7</f>
        <v>17.66</v>
      </c>
      <c r="L74" s="88">
        <f t="shared" si="57"/>
        <v>664.3</v>
      </c>
      <c r="M74" s="37">
        <f>RCF!C$9</f>
        <v>17.033999999999999</v>
      </c>
      <c r="N74" s="88">
        <f t="shared" si="58"/>
        <v>673.8</v>
      </c>
      <c r="O74" s="37">
        <f>RCF!C$11</f>
        <v>17.276</v>
      </c>
      <c r="P74" s="88">
        <f t="shared" si="40"/>
        <v>704.7</v>
      </c>
      <c r="Q74" s="37">
        <f>RCF!C$64</f>
        <v>18.07</v>
      </c>
      <c r="R74" s="150">
        <f t="shared" si="51"/>
        <v>642.70000000000005</v>
      </c>
      <c r="S74" s="37">
        <f>RCF!C$13</f>
        <v>16.48</v>
      </c>
      <c r="T74" s="88">
        <f t="shared" si="59"/>
        <v>640</v>
      </c>
      <c r="U74" s="37">
        <f>RCF!C$22</f>
        <v>16.41</v>
      </c>
      <c r="V74" s="88">
        <f t="shared" si="52"/>
        <v>710.2</v>
      </c>
      <c r="W74" s="37">
        <f>RCF!C$26</f>
        <v>18.209999999999997</v>
      </c>
      <c r="X74" s="88">
        <f t="shared" si="53"/>
        <v>722</v>
      </c>
      <c r="Y74" s="37">
        <f>RCF!C$33</f>
        <v>18.513999999999999</v>
      </c>
      <c r="Z74" s="88">
        <f t="shared" si="54"/>
        <v>714.6</v>
      </c>
      <c r="AA74" s="37">
        <f>RCF!C$39</f>
        <v>18.323333333333334</v>
      </c>
      <c r="AB74" s="88">
        <f t="shared" si="55"/>
        <v>674.9</v>
      </c>
      <c r="AC74" s="37">
        <f>RCF!C$35</f>
        <v>17.306666666666668</v>
      </c>
      <c r="AD74" s="88">
        <f t="shared" si="56"/>
        <v>685.6</v>
      </c>
      <c r="AE74" s="82">
        <f>RCF!C$41</f>
        <v>17.579000000000001</v>
      </c>
    </row>
    <row r="75" spans="1:31" x14ac:dyDescent="0.2">
      <c r="A75" s="147" t="s">
        <v>138</v>
      </c>
      <c r="B75" s="148" t="s">
        <v>42</v>
      </c>
      <c r="C75" s="149">
        <v>1.2</v>
      </c>
      <c r="D75" s="88" t="s">
        <v>188</v>
      </c>
      <c r="E75" s="82" t="s">
        <v>188</v>
      </c>
      <c r="F75" s="88">
        <f t="shared" si="48"/>
        <v>21.1</v>
      </c>
      <c r="G75" s="82">
        <f>RCF!C$5</f>
        <v>17.577000000000002</v>
      </c>
      <c r="H75" s="88">
        <f t="shared" si="49"/>
        <v>21.4</v>
      </c>
      <c r="I75" s="37">
        <f>RCF!C$37</f>
        <v>17.86</v>
      </c>
      <c r="J75" s="88">
        <f t="shared" si="50"/>
        <v>21.1</v>
      </c>
      <c r="K75" s="37">
        <f>RCF!C$7</f>
        <v>17.66</v>
      </c>
      <c r="L75" s="88">
        <f t="shared" si="57"/>
        <v>20.399999999999999</v>
      </c>
      <c r="M75" s="37">
        <f>RCF!C$9</f>
        <v>17.033999999999999</v>
      </c>
      <c r="N75" s="88">
        <f t="shared" si="58"/>
        <v>20.7</v>
      </c>
      <c r="O75" s="37">
        <f>RCF!C$11</f>
        <v>17.276</v>
      </c>
      <c r="P75" s="88">
        <f t="shared" si="40"/>
        <v>21.6</v>
      </c>
      <c r="Q75" s="37">
        <f>RCF!C$64</f>
        <v>18.07</v>
      </c>
      <c r="R75" s="150">
        <f t="shared" si="51"/>
        <v>19.7</v>
      </c>
      <c r="S75" s="37">
        <f>RCF!C$13</f>
        <v>16.48</v>
      </c>
      <c r="T75" s="88">
        <f t="shared" si="59"/>
        <v>19.7</v>
      </c>
      <c r="U75" s="37">
        <f>RCF!C$22</f>
        <v>16.41</v>
      </c>
      <c r="V75" s="88">
        <f t="shared" si="52"/>
        <v>21.9</v>
      </c>
      <c r="W75" s="37">
        <f>RCF!C$26</f>
        <v>18.209999999999997</v>
      </c>
      <c r="X75" s="88">
        <f t="shared" si="53"/>
        <v>22.2</v>
      </c>
      <c r="Y75" s="37">
        <f>RCF!C$33</f>
        <v>18.513999999999999</v>
      </c>
      <c r="Z75" s="88">
        <f t="shared" si="54"/>
        <v>21.9</v>
      </c>
      <c r="AA75" s="37">
        <f>RCF!C$39</f>
        <v>18.323333333333334</v>
      </c>
      <c r="AB75" s="88">
        <f t="shared" si="55"/>
        <v>20.7</v>
      </c>
      <c r="AC75" s="37">
        <f>RCF!C$35</f>
        <v>17.306666666666668</v>
      </c>
      <c r="AD75" s="88">
        <f t="shared" si="56"/>
        <v>21.1</v>
      </c>
      <c r="AE75" s="82">
        <f>RCF!C$41</f>
        <v>17.579000000000001</v>
      </c>
    </row>
    <row r="76" spans="1:31" x14ac:dyDescent="0.2">
      <c r="A76" s="147" t="s">
        <v>139</v>
      </c>
      <c r="B76" s="148" t="s">
        <v>39</v>
      </c>
      <c r="C76" s="149">
        <v>1</v>
      </c>
      <c r="D76" s="88" t="s">
        <v>188</v>
      </c>
      <c r="E76" s="82" t="s">
        <v>188</v>
      </c>
      <c r="F76" s="88">
        <f t="shared" si="48"/>
        <v>17.600000000000001</v>
      </c>
      <c r="G76" s="82">
        <f>RCF!C$5</f>
        <v>17.577000000000002</v>
      </c>
      <c r="H76" s="88">
        <f t="shared" si="49"/>
        <v>17.8</v>
      </c>
      <c r="I76" s="37">
        <f>RCF!C$37</f>
        <v>17.86</v>
      </c>
      <c r="J76" s="88">
        <f t="shared" si="50"/>
        <v>17.600000000000001</v>
      </c>
      <c r="K76" s="37">
        <f>RCF!C$7</f>
        <v>17.66</v>
      </c>
      <c r="L76" s="88">
        <f t="shared" si="57"/>
        <v>17</v>
      </c>
      <c r="M76" s="37">
        <f>RCF!C$9</f>
        <v>17.033999999999999</v>
      </c>
      <c r="N76" s="88">
        <f t="shared" si="58"/>
        <v>17.3</v>
      </c>
      <c r="O76" s="37">
        <f>RCF!C$11</f>
        <v>17.276</v>
      </c>
      <c r="P76" s="88">
        <f t="shared" si="40"/>
        <v>18</v>
      </c>
      <c r="Q76" s="37">
        <f>RCF!C$64</f>
        <v>18.07</v>
      </c>
      <c r="R76" s="150">
        <f t="shared" si="51"/>
        <v>16.399999999999999</v>
      </c>
      <c r="S76" s="37">
        <f>RCF!C$13</f>
        <v>16.48</v>
      </c>
      <c r="T76" s="88">
        <f t="shared" si="59"/>
        <v>16.399999999999999</v>
      </c>
      <c r="U76" s="37">
        <f>RCF!C$22</f>
        <v>16.41</v>
      </c>
      <c r="V76" s="88">
        <f t="shared" si="52"/>
        <v>18.2</v>
      </c>
      <c r="W76" s="37">
        <f>RCF!C$26</f>
        <v>18.209999999999997</v>
      </c>
      <c r="X76" s="88">
        <f t="shared" si="53"/>
        <v>18.5</v>
      </c>
      <c r="Y76" s="37">
        <f>RCF!C$33</f>
        <v>18.513999999999999</v>
      </c>
      <c r="Z76" s="88">
        <f t="shared" si="54"/>
        <v>18.3</v>
      </c>
      <c r="AA76" s="37">
        <f>RCF!C$39</f>
        <v>18.323333333333334</v>
      </c>
      <c r="AB76" s="88">
        <f t="shared" si="55"/>
        <v>17.3</v>
      </c>
      <c r="AC76" s="37">
        <f>RCF!C$35</f>
        <v>17.306666666666668</v>
      </c>
      <c r="AD76" s="88">
        <f t="shared" si="56"/>
        <v>17.600000000000001</v>
      </c>
      <c r="AE76" s="82">
        <f>RCF!C$41</f>
        <v>17.579000000000001</v>
      </c>
    </row>
    <row r="77" spans="1:31" x14ac:dyDescent="0.2">
      <c r="A77" s="147" t="s">
        <v>140</v>
      </c>
      <c r="B77" s="148" t="s">
        <v>239</v>
      </c>
      <c r="C77" s="149">
        <v>50</v>
      </c>
      <c r="D77" s="88" t="s">
        <v>188</v>
      </c>
      <c r="E77" s="82" t="s">
        <v>188</v>
      </c>
      <c r="F77" s="88">
        <f t="shared" si="48"/>
        <v>878.9</v>
      </c>
      <c r="G77" s="82">
        <f>RCF!C$5</f>
        <v>17.577000000000002</v>
      </c>
      <c r="H77" s="88">
        <f t="shared" si="49"/>
        <v>893</v>
      </c>
      <c r="I77" s="37">
        <f>RCF!C$37</f>
        <v>17.86</v>
      </c>
      <c r="J77" s="88">
        <f t="shared" si="50"/>
        <v>883</v>
      </c>
      <c r="K77" s="37">
        <f>RCF!C$7</f>
        <v>17.66</v>
      </c>
      <c r="L77" s="88">
        <f t="shared" si="57"/>
        <v>851.7</v>
      </c>
      <c r="M77" s="37">
        <f>RCF!C$9</f>
        <v>17.033999999999999</v>
      </c>
      <c r="N77" s="88">
        <f t="shared" si="58"/>
        <v>863.8</v>
      </c>
      <c r="O77" s="37">
        <f>RCF!C$11</f>
        <v>17.276</v>
      </c>
      <c r="P77" s="88">
        <f t="shared" si="40"/>
        <v>903.5</v>
      </c>
      <c r="Q77" s="37">
        <f>RCF!C$64</f>
        <v>18.07</v>
      </c>
      <c r="R77" s="150">
        <f t="shared" si="51"/>
        <v>824</v>
      </c>
      <c r="S77" s="37">
        <f>RCF!C$13</f>
        <v>16.48</v>
      </c>
      <c r="T77" s="88">
        <f t="shared" si="59"/>
        <v>820.5</v>
      </c>
      <c r="U77" s="37">
        <f>RCF!C$22</f>
        <v>16.41</v>
      </c>
      <c r="V77" s="88">
        <f t="shared" si="52"/>
        <v>910.5</v>
      </c>
      <c r="W77" s="37">
        <f>RCF!C$26</f>
        <v>18.209999999999997</v>
      </c>
      <c r="X77" s="88">
        <f t="shared" si="53"/>
        <v>925.7</v>
      </c>
      <c r="Y77" s="37">
        <f>RCF!C$33</f>
        <v>18.513999999999999</v>
      </c>
      <c r="Z77" s="88">
        <f t="shared" si="54"/>
        <v>916.1</v>
      </c>
      <c r="AA77" s="37">
        <f>RCF!C$39</f>
        <v>18.323333333333334</v>
      </c>
      <c r="AB77" s="88">
        <f t="shared" si="55"/>
        <v>865.3</v>
      </c>
      <c r="AC77" s="37">
        <f>RCF!C$35</f>
        <v>17.306666666666668</v>
      </c>
      <c r="AD77" s="88">
        <f t="shared" si="56"/>
        <v>879</v>
      </c>
      <c r="AE77" s="82">
        <f>RCF!C$41</f>
        <v>17.579000000000001</v>
      </c>
    </row>
    <row r="78" spans="1:31" x14ac:dyDescent="0.2">
      <c r="A78" s="147" t="s">
        <v>240</v>
      </c>
      <c r="B78" s="148" t="s">
        <v>241</v>
      </c>
      <c r="C78" s="149">
        <v>25</v>
      </c>
      <c r="D78" s="88" t="s">
        <v>188</v>
      </c>
      <c r="E78" s="82" t="s">
        <v>188</v>
      </c>
      <c r="F78" s="88">
        <f t="shared" si="48"/>
        <v>439.4</v>
      </c>
      <c r="G78" s="82">
        <f>RCF!C$5</f>
        <v>17.577000000000002</v>
      </c>
      <c r="H78" s="88">
        <f t="shared" si="49"/>
        <v>446.5</v>
      </c>
      <c r="I78" s="37">
        <f>RCF!C$37</f>
        <v>17.86</v>
      </c>
      <c r="J78" s="88">
        <f t="shared" si="50"/>
        <v>441.5</v>
      </c>
      <c r="K78" s="37">
        <f>RCF!C$7</f>
        <v>17.66</v>
      </c>
      <c r="L78" s="88">
        <f t="shared" si="57"/>
        <v>425.9</v>
      </c>
      <c r="M78" s="37">
        <f>RCF!C$9</f>
        <v>17.033999999999999</v>
      </c>
      <c r="N78" s="88">
        <f t="shared" si="58"/>
        <v>431.9</v>
      </c>
      <c r="O78" s="37">
        <f>RCF!C$11</f>
        <v>17.276</v>
      </c>
      <c r="P78" s="88">
        <f t="shared" si="40"/>
        <v>451.7</v>
      </c>
      <c r="Q78" s="37">
        <f>RCF!C$64</f>
        <v>18.07</v>
      </c>
      <c r="R78" s="150">
        <f t="shared" si="51"/>
        <v>412</v>
      </c>
      <c r="S78" s="37">
        <f>RCF!C$13</f>
        <v>16.48</v>
      </c>
      <c r="T78" s="88">
        <f t="shared" si="59"/>
        <v>410.3</v>
      </c>
      <c r="U78" s="37">
        <f>RCF!C$22</f>
        <v>16.41</v>
      </c>
      <c r="V78" s="88">
        <f t="shared" si="52"/>
        <v>455.3</v>
      </c>
      <c r="W78" s="37">
        <f>RCF!C$26</f>
        <v>18.209999999999997</v>
      </c>
      <c r="X78" s="88">
        <f t="shared" si="53"/>
        <v>462.8</v>
      </c>
      <c r="Y78" s="37">
        <f>RCF!C$33</f>
        <v>18.513999999999999</v>
      </c>
      <c r="Z78" s="88">
        <f t="shared" si="54"/>
        <v>458</v>
      </c>
      <c r="AA78" s="37">
        <f>RCF!C$39</f>
        <v>18.323333333333334</v>
      </c>
      <c r="AB78" s="88">
        <f t="shared" si="55"/>
        <v>432.6</v>
      </c>
      <c r="AC78" s="37">
        <f>RCF!C$35</f>
        <v>17.306666666666668</v>
      </c>
      <c r="AD78" s="88">
        <f t="shared" si="56"/>
        <v>439.5</v>
      </c>
      <c r="AE78" s="82">
        <f>RCF!C$41</f>
        <v>17.579000000000001</v>
      </c>
    </row>
    <row r="79" spans="1:31" ht="25.5" x14ac:dyDescent="0.2">
      <c r="A79" s="147" t="s">
        <v>242</v>
      </c>
      <c r="B79" s="148" t="s">
        <v>243</v>
      </c>
      <c r="C79" s="149" t="s">
        <v>244</v>
      </c>
      <c r="D79" s="88" t="s">
        <v>188</v>
      </c>
      <c r="E79" s="82" t="s">
        <v>188</v>
      </c>
      <c r="F79" s="88">
        <f t="shared" si="48"/>
        <v>35.200000000000003</v>
      </c>
      <c r="G79" s="82">
        <f>RCF!C$5</f>
        <v>17.577000000000002</v>
      </c>
      <c r="H79" s="88">
        <f t="shared" si="49"/>
        <v>35.700000000000003</v>
      </c>
      <c r="I79" s="37">
        <f>RCF!C$37</f>
        <v>17.86</v>
      </c>
      <c r="J79" s="88">
        <f t="shared" si="50"/>
        <v>35.299999999999997</v>
      </c>
      <c r="K79" s="37">
        <f>RCF!C$7</f>
        <v>17.66</v>
      </c>
      <c r="L79" s="88">
        <f t="shared" si="57"/>
        <v>34.1</v>
      </c>
      <c r="M79" s="37">
        <f>RCF!C$9</f>
        <v>17.033999999999999</v>
      </c>
      <c r="N79" s="88">
        <f t="shared" si="58"/>
        <v>34.6</v>
      </c>
      <c r="O79" s="37">
        <f>RCF!C$11</f>
        <v>17.276</v>
      </c>
      <c r="P79" s="88">
        <f t="shared" si="40"/>
        <v>36.1</v>
      </c>
      <c r="Q79" s="37">
        <f>RCF!C$64</f>
        <v>18.07</v>
      </c>
      <c r="R79" s="150">
        <f t="shared" si="51"/>
        <v>32.9</v>
      </c>
      <c r="S79" s="37">
        <f>RCF!C$13</f>
        <v>16.48</v>
      </c>
      <c r="T79" s="88">
        <f t="shared" si="59"/>
        <v>32.799999999999997</v>
      </c>
      <c r="U79" s="37">
        <f>RCF!C$22</f>
        <v>16.41</v>
      </c>
      <c r="V79" s="88">
        <f t="shared" si="52"/>
        <v>36.4</v>
      </c>
      <c r="W79" s="37">
        <f>RCF!C$26</f>
        <v>18.209999999999997</v>
      </c>
      <c r="X79" s="88">
        <f t="shared" si="53"/>
        <v>37</v>
      </c>
      <c r="Y79" s="37">
        <f>RCF!C$33</f>
        <v>18.513999999999999</v>
      </c>
      <c r="Z79" s="88">
        <f t="shared" si="54"/>
        <v>36.6</v>
      </c>
      <c r="AA79" s="37">
        <f>RCF!C$39</f>
        <v>18.323333333333334</v>
      </c>
      <c r="AB79" s="88">
        <f t="shared" si="55"/>
        <v>34.6</v>
      </c>
      <c r="AC79" s="37">
        <f>RCF!C$35</f>
        <v>17.306666666666668</v>
      </c>
      <c r="AD79" s="88">
        <f t="shared" si="56"/>
        <v>35.200000000000003</v>
      </c>
      <c r="AE79" s="82">
        <f>RCF!C$41</f>
        <v>17.579000000000001</v>
      </c>
    </row>
    <row r="80" spans="1:31" ht="25.5" x14ac:dyDescent="0.2">
      <c r="A80" s="147" t="s">
        <v>245</v>
      </c>
      <c r="B80" s="148" t="s">
        <v>246</v>
      </c>
      <c r="C80" s="149">
        <v>42.65</v>
      </c>
      <c r="D80" s="88" t="s">
        <v>188</v>
      </c>
      <c r="E80" s="82" t="s">
        <v>188</v>
      </c>
      <c r="F80" s="88">
        <f t="shared" si="48"/>
        <v>749.7</v>
      </c>
      <c r="G80" s="82">
        <f>RCF!C$5</f>
        <v>17.577000000000002</v>
      </c>
      <c r="H80" s="88">
        <f t="shared" si="49"/>
        <v>761.7</v>
      </c>
      <c r="I80" s="37">
        <f>RCF!C$37</f>
        <v>17.86</v>
      </c>
      <c r="J80" s="88">
        <f t="shared" si="50"/>
        <v>753.1</v>
      </c>
      <c r="K80" s="37">
        <f>RCF!C$7</f>
        <v>17.66</v>
      </c>
      <c r="L80" s="88">
        <f t="shared" si="57"/>
        <v>726.5</v>
      </c>
      <c r="M80" s="37">
        <f>RCF!C$9</f>
        <v>17.033999999999999</v>
      </c>
      <c r="N80" s="88">
        <f t="shared" si="58"/>
        <v>736.8</v>
      </c>
      <c r="O80" s="37">
        <f>RCF!C$11</f>
        <v>17.276</v>
      </c>
      <c r="P80" s="88">
        <f t="shared" si="40"/>
        <v>770.6</v>
      </c>
      <c r="Q80" s="37">
        <f>RCF!C$64</f>
        <v>18.07</v>
      </c>
      <c r="R80" s="150">
        <f t="shared" si="51"/>
        <v>702.8</v>
      </c>
      <c r="S80" s="37">
        <f>RCF!C$13</f>
        <v>16.48</v>
      </c>
      <c r="T80" s="88">
        <f t="shared" si="59"/>
        <v>699.9</v>
      </c>
      <c r="U80" s="37">
        <f>RCF!C$22</f>
        <v>16.41</v>
      </c>
      <c r="V80" s="88">
        <f t="shared" si="52"/>
        <v>776.7</v>
      </c>
      <c r="W80" s="37">
        <f>RCF!C$26</f>
        <v>18.209999999999997</v>
      </c>
      <c r="X80" s="88">
        <f t="shared" si="53"/>
        <v>789.6</v>
      </c>
      <c r="Y80" s="37">
        <f>RCF!C$33</f>
        <v>18.513999999999999</v>
      </c>
      <c r="Z80" s="88">
        <f t="shared" si="54"/>
        <v>781.4</v>
      </c>
      <c r="AA80" s="37">
        <f>RCF!C$39</f>
        <v>18.323333333333334</v>
      </c>
      <c r="AB80" s="88">
        <f t="shared" si="55"/>
        <v>738.1</v>
      </c>
      <c r="AC80" s="37">
        <f>RCF!C$35</f>
        <v>17.306666666666668</v>
      </c>
      <c r="AD80" s="88">
        <f t="shared" si="56"/>
        <v>749.7</v>
      </c>
      <c r="AE80" s="82">
        <f>RCF!C$41</f>
        <v>17.579000000000001</v>
      </c>
    </row>
    <row r="81" spans="1:31" ht="25.5" x14ac:dyDescent="0.2">
      <c r="A81" s="147" t="s">
        <v>247</v>
      </c>
      <c r="B81" s="148" t="s">
        <v>248</v>
      </c>
      <c r="C81" s="149">
        <v>15</v>
      </c>
      <c r="D81" s="88" t="s">
        <v>188</v>
      </c>
      <c r="E81" s="82" t="s">
        <v>188</v>
      </c>
      <c r="F81" s="88">
        <f t="shared" si="48"/>
        <v>263.7</v>
      </c>
      <c r="G81" s="82">
        <f>RCF!C$5</f>
        <v>17.577000000000002</v>
      </c>
      <c r="H81" s="88">
        <f t="shared" si="49"/>
        <v>267.89999999999998</v>
      </c>
      <c r="I81" s="37">
        <f>RCF!C$37</f>
        <v>17.86</v>
      </c>
      <c r="J81" s="88">
        <f t="shared" si="50"/>
        <v>264.89999999999998</v>
      </c>
      <c r="K81" s="37">
        <f>RCF!C$7</f>
        <v>17.66</v>
      </c>
      <c r="L81" s="88">
        <f t="shared" si="57"/>
        <v>255.5</v>
      </c>
      <c r="M81" s="37">
        <f>RCF!C$9</f>
        <v>17.033999999999999</v>
      </c>
      <c r="N81" s="88">
        <f t="shared" si="58"/>
        <v>259.10000000000002</v>
      </c>
      <c r="O81" s="37">
        <f>RCF!C$11</f>
        <v>17.276</v>
      </c>
      <c r="P81" s="88">
        <f t="shared" si="40"/>
        <v>271</v>
      </c>
      <c r="Q81" s="37">
        <f>RCF!C$64</f>
        <v>18.07</v>
      </c>
      <c r="R81" s="150">
        <f t="shared" si="51"/>
        <v>247.2</v>
      </c>
      <c r="S81" s="37">
        <f>RCF!C$13</f>
        <v>16.48</v>
      </c>
      <c r="T81" s="88">
        <f t="shared" si="59"/>
        <v>246.2</v>
      </c>
      <c r="U81" s="37">
        <f>RCF!C$22</f>
        <v>16.41</v>
      </c>
      <c r="V81" s="88">
        <f t="shared" si="52"/>
        <v>273.2</v>
      </c>
      <c r="W81" s="37">
        <f>RCF!C$26</f>
        <v>18.209999999999997</v>
      </c>
      <c r="X81" s="88">
        <f t="shared" si="53"/>
        <v>277.7</v>
      </c>
      <c r="Y81" s="37">
        <f>RCF!C$33</f>
        <v>18.513999999999999</v>
      </c>
      <c r="Z81" s="88">
        <f t="shared" si="54"/>
        <v>274.8</v>
      </c>
      <c r="AA81" s="37">
        <f>RCF!C$39</f>
        <v>18.323333333333334</v>
      </c>
      <c r="AB81" s="88">
        <f t="shared" si="55"/>
        <v>259.60000000000002</v>
      </c>
      <c r="AC81" s="37">
        <f>RCF!C$35</f>
        <v>17.306666666666668</v>
      </c>
      <c r="AD81" s="88">
        <f t="shared" si="56"/>
        <v>263.7</v>
      </c>
      <c r="AE81" s="82">
        <f>RCF!C$41</f>
        <v>17.579000000000001</v>
      </c>
    </row>
    <row r="82" spans="1:31" ht="25.5" x14ac:dyDescent="0.2">
      <c r="A82" s="147" t="s">
        <v>249</v>
      </c>
      <c r="B82" s="148" t="s">
        <v>250</v>
      </c>
      <c r="C82" s="149">
        <v>30</v>
      </c>
      <c r="D82" s="88" t="s">
        <v>188</v>
      </c>
      <c r="E82" s="82" t="s">
        <v>188</v>
      </c>
      <c r="F82" s="88">
        <f t="shared" si="48"/>
        <v>527.29999999999995</v>
      </c>
      <c r="G82" s="82">
        <f>RCF!C$5</f>
        <v>17.577000000000002</v>
      </c>
      <c r="H82" s="88">
        <f t="shared" si="49"/>
        <v>535.79999999999995</v>
      </c>
      <c r="I82" s="37">
        <f>RCF!C$37</f>
        <v>17.86</v>
      </c>
      <c r="J82" s="88">
        <f t="shared" si="50"/>
        <v>529.79999999999995</v>
      </c>
      <c r="K82" s="37">
        <f>RCF!C$7</f>
        <v>17.66</v>
      </c>
      <c r="L82" s="88">
        <f t="shared" si="57"/>
        <v>511</v>
      </c>
      <c r="M82" s="37">
        <f>RCF!C$9</f>
        <v>17.033999999999999</v>
      </c>
      <c r="N82" s="88">
        <f t="shared" si="58"/>
        <v>518.29999999999995</v>
      </c>
      <c r="O82" s="37">
        <f>RCF!C$11</f>
        <v>17.276</v>
      </c>
      <c r="P82" s="88">
        <f t="shared" si="40"/>
        <v>542.1</v>
      </c>
      <c r="Q82" s="37">
        <f>RCF!C$64</f>
        <v>18.07</v>
      </c>
      <c r="R82" s="150">
        <f t="shared" si="51"/>
        <v>494.4</v>
      </c>
      <c r="S82" s="37">
        <f>RCF!C$13</f>
        <v>16.48</v>
      </c>
      <c r="T82" s="88">
        <f t="shared" si="59"/>
        <v>492.3</v>
      </c>
      <c r="U82" s="37">
        <f>RCF!C$22</f>
        <v>16.41</v>
      </c>
      <c r="V82" s="88">
        <f t="shared" si="52"/>
        <v>546.29999999999995</v>
      </c>
      <c r="W82" s="37">
        <f>RCF!C$26</f>
        <v>18.209999999999997</v>
      </c>
      <c r="X82" s="88">
        <f t="shared" si="53"/>
        <v>555.4</v>
      </c>
      <c r="Y82" s="37">
        <f>RCF!C$33</f>
        <v>18.513999999999999</v>
      </c>
      <c r="Z82" s="88">
        <f t="shared" si="54"/>
        <v>549.70000000000005</v>
      </c>
      <c r="AA82" s="37">
        <f>RCF!C$39</f>
        <v>18.323333333333334</v>
      </c>
      <c r="AB82" s="88">
        <f t="shared" si="55"/>
        <v>519.20000000000005</v>
      </c>
      <c r="AC82" s="37">
        <f>RCF!C$35</f>
        <v>17.306666666666668</v>
      </c>
      <c r="AD82" s="88">
        <f t="shared" si="56"/>
        <v>527.4</v>
      </c>
      <c r="AE82" s="82">
        <f>RCF!C$41</f>
        <v>17.579000000000001</v>
      </c>
    </row>
    <row r="83" spans="1:31" x14ac:dyDescent="0.2">
      <c r="A83" s="42"/>
      <c r="B83" s="43"/>
      <c r="C83" s="44"/>
      <c r="D83" s="45"/>
      <c r="E83" s="46"/>
      <c r="F83" s="45"/>
      <c r="G83" s="46"/>
      <c r="H83" s="45"/>
      <c r="I83" s="46"/>
      <c r="J83" s="46"/>
      <c r="K83" s="46"/>
      <c r="L83" s="45"/>
      <c r="M83" s="46"/>
      <c r="N83" s="45"/>
      <c r="O83" s="46"/>
      <c r="P83" s="45"/>
      <c r="Q83" s="46"/>
      <c r="R83" s="45"/>
      <c r="S83" s="46"/>
      <c r="T83" s="45"/>
      <c r="U83" s="46"/>
      <c r="V83" s="46"/>
      <c r="W83" s="46"/>
      <c r="X83" s="45"/>
      <c r="Y83" s="46"/>
      <c r="Z83" s="45"/>
      <c r="AA83" s="46"/>
      <c r="AB83" s="45"/>
      <c r="AC83" s="46"/>
      <c r="AD83" s="47"/>
      <c r="AE83" s="48"/>
    </row>
    <row r="84" spans="1:31" x14ac:dyDescent="0.2">
      <c r="A84" s="206" t="s">
        <v>173</v>
      </c>
      <c r="B84" s="200"/>
      <c r="C84" s="201"/>
      <c r="D84" s="202"/>
      <c r="E84" s="203"/>
      <c r="F84" s="202"/>
      <c r="G84" s="203"/>
      <c r="H84" s="202"/>
      <c r="I84" s="203"/>
      <c r="J84" s="203"/>
      <c r="K84" s="203"/>
      <c r="L84" s="202"/>
      <c r="M84" s="203"/>
      <c r="N84" s="202"/>
      <c r="O84" s="203"/>
      <c r="P84" s="202"/>
      <c r="Q84" s="203"/>
      <c r="R84" s="202"/>
      <c r="S84" s="203"/>
      <c r="T84" s="202"/>
      <c r="U84" s="203"/>
      <c r="V84" s="203"/>
      <c r="W84" s="203"/>
      <c r="X84" s="202"/>
      <c r="Y84" s="203"/>
      <c r="Z84" s="202"/>
      <c r="AA84" s="203"/>
      <c r="AB84" s="202"/>
      <c r="AC84" s="203"/>
      <c r="AD84" s="204"/>
      <c r="AE84" s="205"/>
    </row>
    <row r="85" spans="1:31" x14ac:dyDescent="0.2">
      <c r="A85" s="184" t="s">
        <v>55</v>
      </c>
      <c r="B85" s="49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1"/>
      <c r="Q85" s="49"/>
      <c r="R85" s="51"/>
      <c r="S85" s="51"/>
      <c r="T85" s="52"/>
      <c r="U85" s="51"/>
      <c r="V85" s="52"/>
      <c r="W85" s="49"/>
      <c r="X85" s="49"/>
      <c r="Y85" s="49"/>
      <c r="Z85" s="49"/>
      <c r="AA85" s="49"/>
      <c r="AB85" s="51"/>
      <c r="AC85" s="51"/>
      <c r="AD85" s="52"/>
      <c r="AE85" s="53"/>
    </row>
    <row r="86" spans="1:31" x14ac:dyDescent="0.2">
      <c r="A86" s="185" t="s">
        <v>120</v>
      </c>
      <c r="C86" s="54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5"/>
      <c r="Q86" s="54"/>
      <c r="R86" s="55"/>
      <c r="S86" s="55"/>
      <c r="T86" s="56"/>
      <c r="U86" s="55"/>
      <c r="V86" s="56"/>
      <c r="W86" s="54"/>
      <c r="X86" s="54"/>
      <c r="Y86" s="54"/>
      <c r="Z86" s="54"/>
      <c r="AA86" s="54"/>
      <c r="AB86" s="230"/>
      <c r="AC86" s="55"/>
      <c r="AD86" s="56"/>
      <c r="AE86" s="57"/>
    </row>
    <row r="87" spans="1:31" x14ac:dyDescent="0.2">
      <c r="A87" s="92" t="s">
        <v>183</v>
      </c>
      <c r="B87" s="90"/>
      <c r="C87" s="90"/>
      <c r="D87" s="90"/>
      <c r="E87" s="90"/>
      <c r="F87" s="58"/>
      <c r="G87" s="58"/>
      <c r="H87" s="91"/>
      <c r="I87" s="91"/>
      <c r="J87" s="91"/>
      <c r="K87" s="91"/>
      <c r="L87" s="91"/>
      <c r="M87" s="58"/>
      <c r="N87" s="58"/>
      <c r="O87" s="91"/>
      <c r="P87" s="55"/>
      <c r="Q87" s="54"/>
      <c r="R87" s="236"/>
      <c r="S87" s="58"/>
      <c r="T87" s="58"/>
      <c r="U87" s="58"/>
      <c r="V87" s="58"/>
      <c r="W87" s="54"/>
      <c r="X87" s="54"/>
      <c r="Y87" s="54"/>
      <c r="Z87" s="54"/>
      <c r="AA87" s="54"/>
      <c r="AB87" s="230"/>
      <c r="AC87" s="58"/>
      <c r="AD87" s="58"/>
      <c r="AE87" s="57"/>
    </row>
    <row r="88" spans="1:31" x14ac:dyDescent="0.2">
      <c r="A88" s="186" t="s">
        <v>161</v>
      </c>
      <c r="B88" s="90"/>
      <c r="C88" s="90"/>
      <c r="D88" s="90"/>
      <c r="E88" s="90"/>
      <c r="F88" s="58"/>
      <c r="G88" s="58"/>
      <c r="H88" s="91"/>
      <c r="I88" s="91"/>
      <c r="J88" s="91"/>
      <c r="K88" s="91"/>
      <c r="L88" s="91"/>
      <c r="M88" s="58"/>
      <c r="N88" s="58"/>
      <c r="O88" s="91"/>
      <c r="P88" s="55"/>
      <c r="Q88" s="54"/>
      <c r="R88" s="236"/>
      <c r="S88" s="58"/>
      <c r="T88" s="58"/>
      <c r="U88" s="58"/>
      <c r="V88" s="58"/>
      <c r="W88" s="54"/>
      <c r="X88" s="54"/>
      <c r="Y88" s="54"/>
      <c r="Z88" s="54"/>
      <c r="AA88" s="54"/>
      <c r="AB88" s="230"/>
      <c r="AC88" s="58"/>
      <c r="AD88" s="58"/>
      <c r="AE88" s="57"/>
    </row>
    <row r="89" spans="1:31" x14ac:dyDescent="0.2">
      <c r="A89" s="187" t="s">
        <v>162</v>
      </c>
      <c r="B89" s="58"/>
      <c r="C89" s="54"/>
      <c r="D89" s="55"/>
      <c r="E89" s="56"/>
      <c r="F89" s="56"/>
      <c r="G89" s="56"/>
      <c r="H89" s="91"/>
      <c r="I89" s="91"/>
      <c r="J89" s="91"/>
      <c r="K89" s="91"/>
      <c r="L89" s="91"/>
      <c r="M89" s="56"/>
      <c r="N89" s="56"/>
      <c r="O89" s="91"/>
      <c r="P89" s="55"/>
      <c r="Q89" s="54"/>
      <c r="R89" s="236"/>
      <c r="S89" s="55"/>
      <c r="T89" s="56"/>
      <c r="U89" s="55"/>
      <c r="V89" s="56"/>
      <c r="W89" s="54"/>
      <c r="X89" s="54"/>
      <c r="Y89" s="54"/>
      <c r="Z89" s="54"/>
      <c r="AA89" s="54"/>
      <c r="AB89" s="230"/>
      <c r="AC89" s="55"/>
      <c r="AD89" s="56"/>
      <c r="AE89" s="57"/>
    </row>
    <row r="90" spans="1:31" x14ac:dyDescent="0.2">
      <c r="A90" s="185" t="s">
        <v>184</v>
      </c>
      <c r="B90" s="58"/>
      <c r="C90" s="54"/>
      <c r="D90" s="55"/>
      <c r="E90" s="56"/>
      <c r="F90" s="56"/>
      <c r="G90" s="56"/>
      <c r="H90" s="91"/>
      <c r="I90" s="91"/>
      <c r="J90" s="91"/>
      <c r="K90" s="91"/>
      <c r="L90" s="91"/>
      <c r="M90" s="56"/>
      <c r="N90" s="56"/>
      <c r="O90" s="91"/>
      <c r="P90" s="55"/>
      <c r="Q90" s="54"/>
      <c r="R90" s="236"/>
      <c r="S90" s="55"/>
      <c r="T90" s="56"/>
      <c r="U90" s="55"/>
      <c r="V90" s="56"/>
      <c r="W90" s="54"/>
      <c r="X90" s="54"/>
      <c r="Y90" s="54"/>
      <c r="Z90" s="54"/>
      <c r="AA90" s="54"/>
      <c r="AB90" s="230"/>
      <c r="AC90" s="55"/>
      <c r="AD90" s="56"/>
      <c r="AE90" s="57"/>
    </row>
    <row r="91" spans="1:31" x14ac:dyDescent="0.2">
      <c r="A91" s="188" t="s">
        <v>178</v>
      </c>
      <c r="B91" s="58"/>
      <c r="C91" s="54"/>
      <c r="D91" s="55"/>
      <c r="E91" s="56"/>
      <c r="F91" s="56"/>
      <c r="G91" s="56"/>
      <c r="H91" s="91"/>
      <c r="I91" s="91"/>
      <c r="J91" s="91"/>
      <c r="K91" s="91"/>
      <c r="L91" s="91"/>
      <c r="M91" s="56"/>
      <c r="N91" s="56"/>
      <c r="O91" s="91"/>
      <c r="P91" s="55"/>
      <c r="Q91" s="54"/>
      <c r="R91" s="236"/>
      <c r="S91" s="55"/>
      <c r="T91" s="56"/>
      <c r="U91" s="55"/>
      <c r="V91" s="56"/>
      <c r="W91" s="54"/>
      <c r="X91" s="54"/>
      <c r="Y91" s="54"/>
      <c r="Z91" s="54"/>
      <c r="AA91" s="54"/>
      <c r="AB91" s="230"/>
      <c r="AC91" s="55"/>
      <c r="AD91" s="56"/>
      <c r="AE91" s="57"/>
    </row>
    <row r="92" spans="1:31" x14ac:dyDescent="0.2">
      <c r="A92" s="189" t="s">
        <v>179</v>
      </c>
      <c r="B92" s="58"/>
      <c r="C92" s="54"/>
      <c r="D92" s="55"/>
      <c r="E92" s="56"/>
      <c r="F92" s="56"/>
      <c r="G92" s="56"/>
      <c r="H92" s="91"/>
      <c r="I92" s="91"/>
      <c r="J92" s="91"/>
      <c r="K92" s="91"/>
      <c r="L92" s="91"/>
      <c r="M92" s="56"/>
      <c r="N92" s="56"/>
      <c r="O92" s="91"/>
      <c r="P92" s="55"/>
      <c r="Q92" s="54"/>
      <c r="R92" s="236"/>
      <c r="S92" s="55"/>
      <c r="T92" s="56"/>
      <c r="U92" s="55"/>
      <c r="V92" s="56"/>
      <c r="W92" s="54"/>
      <c r="X92" s="54"/>
      <c r="Y92" s="54"/>
      <c r="Z92" s="54"/>
      <c r="AA92" s="54"/>
      <c r="AB92" s="230"/>
      <c r="AC92" s="55"/>
      <c r="AD92" s="56"/>
      <c r="AE92" s="57"/>
    </row>
    <row r="93" spans="1:31" x14ac:dyDescent="0.2">
      <c r="A93" s="188" t="s">
        <v>180</v>
      </c>
      <c r="B93" s="58"/>
      <c r="C93" s="54"/>
      <c r="D93" s="55"/>
      <c r="E93" s="56"/>
      <c r="F93" s="56"/>
      <c r="G93" s="56"/>
      <c r="H93" s="91"/>
      <c r="I93" s="91"/>
      <c r="J93" s="91"/>
      <c r="K93" s="91"/>
      <c r="L93" s="91"/>
      <c r="M93" s="56"/>
      <c r="N93" s="56"/>
      <c r="O93" s="91"/>
      <c r="P93" s="55"/>
      <c r="Q93" s="54"/>
      <c r="R93" s="236"/>
      <c r="S93" s="55"/>
      <c r="T93" s="56"/>
      <c r="U93" s="55"/>
      <c r="V93" s="56"/>
      <c r="W93" s="54"/>
      <c r="X93" s="54"/>
      <c r="Y93" s="54"/>
      <c r="Z93" s="54"/>
      <c r="AA93" s="54"/>
      <c r="AB93" s="230"/>
      <c r="AC93" s="55"/>
      <c r="AD93" s="56"/>
      <c r="AE93" s="57"/>
    </row>
    <row r="94" spans="1:31" x14ac:dyDescent="0.2">
      <c r="A94" s="190" t="s">
        <v>185</v>
      </c>
      <c r="B94" s="58"/>
      <c r="C94" s="54"/>
      <c r="D94" s="55"/>
      <c r="E94" s="56"/>
      <c r="F94" s="56"/>
      <c r="G94" s="56"/>
      <c r="H94" s="91"/>
      <c r="I94" s="91"/>
      <c r="J94" s="91"/>
      <c r="K94" s="91"/>
      <c r="L94" s="91"/>
      <c r="M94" s="56"/>
      <c r="N94" s="56"/>
      <c r="O94" s="91"/>
      <c r="P94" s="55"/>
      <c r="Q94" s="54"/>
      <c r="R94" s="236"/>
      <c r="S94" s="55"/>
      <c r="T94" s="56"/>
      <c r="U94" s="55"/>
      <c r="V94" s="56"/>
      <c r="W94" s="54"/>
      <c r="X94" s="54"/>
      <c r="Y94" s="54"/>
      <c r="Z94" s="54"/>
      <c r="AA94" s="54"/>
      <c r="AB94" s="230"/>
      <c r="AC94" s="55"/>
      <c r="AD94" s="56"/>
      <c r="AE94" s="57"/>
    </row>
    <row r="95" spans="1:31" x14ac:dyDescent="0.2">
      <c r="A95" s="185" t="s">
        <v>163</v>
      </c>
      <c r="B95" s="58"/>
      <c r="C95" s="54"/>
      <c r="D95" s="55"/>
      <c r="E95" s="56"/>
      <c r="F95" s="56"/>
      <c r="G95" s="56"/>
      <c r="H95" s="91"/>
      <c r="I95" s="91"/>
      <c r="J95" s="91"/>
      <c r="K95" s="91"/>
      <c r="L95" s="91"/>
      <c r="M95" s="56"/>
      <c r="N95" s="56"/>
      <c r="O95" s="91"/>
      <c r="P95" s="55"/>
      <c r="Q95" s="54"/>
      <c r="R95" s="236"/>
      <c r="S95" s="55"/>
      <c r="T95" s="56"/>
      <c r="U95" s="55"/>
      <c r="V95" s="56"/>
      <c r="W95" s="54"/>
      <c r="X95" s="54"/>
      <c r="Y95" s="54"/>
      <c r="Z95" s="54"/>
      <c r="AA95" s="54"/>
      <c r="AB95" s="230"/>
      <c r="AC95" s="55"/>
      <c r="AD95" s="56"/>
      <c r="AE95" s="57"/>
    </row>
    <row r="96" spans="1:31" x14ac:dyDescent="0.2">
      <c r="A96" s="187" t="s">
        <v>164</v>
      </c>
      <c r="B96" s="58"/>
      <c r="C96" s="54"/>
      <c r="D96" s="55"/>
      <c r="E96" s="56"/>
      <c r="F96" s="56"/>
      <c r="G96" s="56"/>
      <c r="H96" s="91"/>
      <c r="I96" s="91"/>
      <c r="J96" s="91"/>
      <c r="K96" s="91"/>
      <c r="L96" s="91"/>
      <c r="M96" s="56"/>
      <c r="N96" s="56"/>
      <c r="O96" s="91"/>
      <c r="P96" s="55"/>
      <c r="Q96" s="54"/>
      <c r="R96" s="236"/>
      <c r="S96" s="55"/>
      <c r="T96" s="56"/>
      <c r="U96" s="55"/>
      <c r="V96" s="56"/>
      <c r="W96" s="54"/>
      <c r="X96" s="54"/>
      <c r="Y96" s="54"/>
      <c r="Z96" s="54"/>
      <c r="AA96" s="54"/>
      <c r="AB96" s="230"/>
      <c r="AC96" s="55"/>
      <c r="AD96" s="56"/>
      <c r="AE96" s="57"/>
    </row>
    <row r="97" spans="1:31" x14ac:dyDescent="0.2">
      <c r="A97" s="187" t="s">
        <v>165</v>
      </c>
      <c r="B97" s="58"/>
      <c r="C97" s="54"/>
      <c r="D97" s="55"/>
      <c r="E97" s="56"/>
      <c r="F97" s="56"/>
      <c r="G97" s="56"/>
      <c r="H97" s="91"/>
      <c r="I97" s="91"/>
      <c r="J97" s="91"/>
      <c r="K97" s="91"/>
      <c r="L97" s="91"/>
      <c r="M97" s="56"/>
      <c r="N97" s="56"/>
      <c r="O97" s="91"/>
      <c r="P97" s="55"/>
      <c r="Q97" s="54"/>
      <c r="R97" s="236"/>
      <c r="S97" s="55"/>
      <c r="T97" s="56"/>
      <c r="U97" s="55"/>
      <c r="V97" s="56"/>
      <c r="W97" s="54"/>
      <c r="X97" s="54"/>
      <c r="Y97" s="54"/>
      <c r="Z97" s="54"/>
      <c r="AA97" s="54"/>
      <c r="AB97" s="230"/>
      <c r="AC97" s="55"/>
      <c r="AD97" s="56"/>
      <c r="AE97" s="57"/>
    </row>
    <row r="98" spans="1:31" x14ac:dyDescent="0.2">
      <c r="A98" s="191" t="s">
        <v>166</v>
      </c>
      <c r="B98" s="58"/>
      <c r="C98" s="54"/>
      <c r="D98" s="55"/>
      <c r="E98" s="56"/>
      <c r="F98" s="56"/>
      <c r="G98" s="56"/>
      <c r="H98" s="91"/>
      <c r="I98" s="91"/>
      <c r="J98" s="91"/>
      <c r="K98" s="91"/>
      <c r="L98" s="91"/>
      <c r="M98" s="56"/>
      <c r="N98" s="56"/>
      <c r="O98" s="91"/>
      <c r="P98" s="55"/>
      <c r="Q98" s="54"/>
      <c r="R98" s="236"/>
      <c r="S98" s="55"/>
      <c r="T98" s="56"/>
      <c r="U98" s="55"/>
      <c r="V98" s="56"/>
      <c r="W98" s="54"/>
      <c r="X98" s="54"/>
      <c r="Y98" s="54"/>
      <c r="Z98" s="54"/>
      <c r="AA98" s="54"/>
      <c r="AB98" s="230"/>
      <c r="AC98" s="55"/>
      <c r="AD98" s="56"/>
      <c r="AE98" s="57"/>
    </row>
    <row r="99" spans="1:31" x14ac:dyDescent="0.2">
      <c r="A99" s="187" t="s">
        <v>167</v>
      </c>
      <c r="B99" s="58"/>
      <c r="C99" s="54"/>
      <c r="D99" s="55"/>
      <c r="E99" s="56"/>
      <c r="F99" s="56"/>
      <c r="G99" s="56"/>
      <c r="H99" s="91"/>
      <c r="I99" s="91"/>
      <c r="J99" s="91"/>
      <c r="K99" s="91"/>
      <c r="L99" s="91"/>
      <c r="M99" s="56"/>
      <c r="N99" s="56"/>
      <c r="O99" s="91"/>
      <c r="P99" s="55"/>
      <c r="Q99" s="54"/>
      <c r="R99" s="236"/>
      <c r="S99" s="55"/>
      <c r="T99" s="56"/>
      <c r="U99" s="55"/>
      <c r="V99" s="56"/>
      <c r="W99" s="54"/>
      <c r="X99" s="54"/>
      <c r="Y99" s="54"/>
      <c r="Z99" s="54"/>
      <c r="AA99" s="54"/>
      <c r="AB99" s="230"/>
      <c r="AC99" s="55"/>
      <c r="AD99" s="56"/>
      <c r="AE99" s="57"/>
    </row>
    <row r="100" spans="1:31" ht="15" x14ac:dyDescent="0.25">
      <c r="A100" s="192" t="s">
        <v>181</v>
      </c>
      <c r="B100" s="58"/>
      <c r="C100" s="54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5"/>
      <c r="Q100" s="54"/>
      <c r="R100" s="55"/>
      <c r="S100" s="55"/>
      <c r="T100" s="56"/>
      <c r="U100" s="55"/>
      <c r="V100" s="56"/>
      <c r="W100" s="54"/>
      <c r="X100" s="54"/>
      <c r="Y100" s="54"/>
      <c r="Z100" s="54"/>
      <c r="AA100" s="54"/>
      <c r="AB100" s="230"/>
      <c r="AC100" s="55"/>
      <c r="AD100" s="56"/>
      <c r="AE100" s="57"/>
    </row>
    <row r="101" spans="1:31" x14ac:dyDescent="0.2">
      <c r="A101" s="193" t="s">
        <v>121</v>
      </c>
      <c r="B101" s="58"/>
      <c r="C101" s="54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5"/>
      <c r="Q101" s="54"/>
      <c r="R101" s="55"/>
      <c r="S101" s="55"/>
      <c r="T101" s="56"/>
      <c r="U101" s="55"/>
      <c r="V101" s="56"/>
      <c r="W101" s="54"/>
      <c r="X101" s="54"/>
      <c r="Y101" s="54"/>
      <c r="Z101" s="54"/>
      <c r="AA101" s="54"/>
      <c r="AB101" s="230"/>
      <c r="AC101" s="55"/>
      <c r="AD101" s="56"/>
      <c r="AE101" s="57"/>
    </row>
    <row r="102" spans="1:31" x14ac:dyDescent="0.2">
      <c r="A102" s="187" t="s">
        <v>168</v>
      </c>
      <c r="B102" s="58"/>
      <c r="C102" s="54"/>
      <c r="D102" s="55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5"/>
      <c r="Q102" s="54"/>
      <c r="R102" s="55"/>
      <c r="S102" s="55"/>
      <c r="T102" s="56"/>
      <c r="U102" s="55"/>
      <c r="V102" s="56"/>
      <c r="W102" s="54"/>
      <c r="X102" s="54"/>
      <c r="Y102" s="54"/>
      <c r="Z102" s="54"/>
      <c r="AA102" s="54"/>
      <c r="AB102" s="230"/>
      <c r="AC102" s="55"/>
      <c r="AD102" s="56"/>
      <c r="AE102" s="57"/>
    </row>
    <row r="103" spans="1:31" x14ac:dyDescent="0.2">
      <c r="A103" s="194" t="s">
        <v>169</v>
      </c>
      <c r="B103" s="58"/>
      <c r="C103" s="54"/>
      <c r="D103" s="55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5"/>
      <c r="Q103" s="54"/>
      <c r="R103" s="55"/>
      <c r="S103" s="55"/>
      <c r="T103" s="56"/>
      <c r="U103" s="55"/>
      <c r="V103" s="56"/>
      <c r="W103" s="54"/>
      <c r="X103" s="54"/>
      <c r="Y103" s="54"/>
      <c r="Z103" s="54"/>
      <c r="AA103" s="54"/>
      <c r="AB103" s="230"/>
      <c r="AC103" s="55"/>
      <c r="AD103" s="56"/>
      <c r="AE103" s="57"/>
    </row>
    <row r="104" spans="1:31" x14ac:dyDescent="0.2">
      <c r="A104" s="195" t="s">
        <v>170</v>
      </c>
      <c r="B104" s="60"/>
      <c r="C104" s="60"/>
      <c r="D104" s="61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1"/>
      <c r="Q104" s="60"/>
      <c r="R104" s="61"/>
      <c r="S104" s="61"/>
      <c r="T104" s="62"/>
      <c r="U104" s="61"/>
      <c r="V104" s="62"/>
      <c r="W104" s="60"/>
      <c r="X104" s="60"/>
      <c r="Y104" s="60"/>
      <c r="Z104" s="60"/>
      <c r="AA104" s="60"/>
      <c r="AB104" s="231"/>
      <c r="AC104" s="61"/>
      <c r="AD104" s="62"/>
      <c r="AE104" s="63"/>
    </row>
    <row r="105" spans="1:31" x14ac:dyDescent="0.2">
      <c r="A105" s="196" t="s">
        <v>171</v>
      </c>
      <c r="C105" s="54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5"/>
      <c r="Q105" s="54"/>
      <c r="R105" s="55"/>
      <c r="S105" s="55"/>
      <c r="T105" s="56"/>
      <c r="U105" s="55"/>
      <c r="V105" s="56"/>
      <c r="W105" s="54"/>
      <c r="X105" s="54"/>
      <c r="Y105" s="54"/>
      <c r="Z105" s="54"/>
      <c r="AA105" s="54"/>
      <c r="AB105" s="230"/>
      <c r="AC105" s="55"/>
      <c r="AD105" s="56"/>
      <c r="AE105" s="57"/>
    </row>
    <row r="106" spans="1:31" x14ac:dyDescent="0.2">
      <c r="A106" s="197" t="s">
        <v>186</v>
      </c>
      <c r="B106" s="60"/>
      <c r="C106" s="60"/>
      <c r="D106" s="61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1"/>
      <c r="Q106" s="60"/>
      <c r="R106" s="61"/>
      <c r="S106" s="61"/>
      <c r="T106" s="62"/>
      <c r="U106" s="61"/>
      <c r="V106" s="62"/>
      <c r="W106" s="60"/>
      <c r="X106" s="60"/>
      <c r="Y106" s="60"/>
      <c r="Z106" s="60"/>
      <c r="AA106" s="60"/>
      <c r="AB106" s="231"/>
      <c r="AC106" s="61"/>
      <c r="AD106" s="62"/>
      <c r="AE106" s="63"/>
    </row>
    <row r="107" spans="1:31" x14ac:dyDescent="0.2">
      <c r="A107" s="198" t="s">
        <v>182</v>
      </c>
      <c r="B107" s="60"/>
      <c r="C107" s="60"/>
      <c r="D107" s="61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1"/>
      <c r="Q107" s="60"/>
      <c r="R107" s="61"/>
      <c r="S107" s="61"/>
      <c r="T107" s="62"/>
      <c r="U107" s="61"/>
      <c r="V107" s="62"/>
      <c r="W107" s="60"/>
      <c r="X107" s="60"/>
      <c r="Y107" s="60"/>
      <c r="Z107" s="60"/>
      <c r="AA107" s="60"/>
      <c r="AB107" s="231"/>
      <c r="AC107" s="61"/>
      <c r="AD107" s="62"/>
      <c r="AE107" s="63"/>
    </row>
    <row r="108" spans="1:31" x14ac:dyDescent="0.2">
      <c r="A108" s="199" t="s">
        <v>172</v>
      </c>
      <c r="B108" s="60"/>
      <c r="C108" s="60"/>
      <c r="D108" s="61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1"/>
      <c r="Q108" s="60"/>
      <c r="R108" s="61"/>
      <c r="S108" s="61"/>
      <c r="T108" s="62"/>
      <c r="U108" s="61"/>
      <c r="V108" s="62"/>
      <c r="W108" s="60"/>
      <c r="X108" s="60"/>
      <c r="Y108" s="60"/>
      <c r="Z108" s="60"/>
      <c r="AA108" s="60"/>
      <c r="AB108" s="231"/>
      <c r="AC108" s="61"/>
      <c r="AD108" s="62"/>
      <c r="AE108" s="63"/>
    </row>
    <row r="109" spans="1:31" s="59" customFormat="1" x14ac:dyDescent="0.2">
      <c r="A109" s="193"/>
      <c r="B109" s="60"/>
      <c r="C109" s="60"/>
      <c r="D109" s="61"/>
      <c r="E109" s="62"/>
      <c r="F109" s="61"/>
      <c r="G109" s="62"/>
      <c r="H109" s="62"/>
      <c r="I109" s="62"/>
      <c r="J109" s="62"/>
      <c r="K109" s="62"/>
      <c r="L109" s="62"/>
      <c r="M109" s="61"/>
      <c r="N109" s="62"/>
      <c r="O109" s="62"/>
      <c r="P109" s="61"/>
      <c r="Q109" s="60"/>
      <c r="R109" s="61"/>
      <c r="S109" s="61"/>
      <c r="T109" s="62"/>
      <c r="U109" s="61"/>
      <c r="V109" s="62"/>
      <c r="W109" s="60"/>
      <c r="X109" s="60"/>
      <c r="Y109" s="60"/>
      <c r="Z109" s="60"/>
      <c r="AA109" s="60"/>
      <c r="AB109" s="231"/>
      <c r="AC109" s="61"/>
      <c r="AD109" s="62"/>
      <c r="AE109" s="63"/>
    </row>
    <row r="110" spans="1:31" s="59" customFormat="1" x14ac:dyDescent="0.2">
      <c r="A110" s="209" t="s">
        <v>53</v>
      </c>
      <c r="B110" s="210"/>
      <c r="C110" s="211"/>
      <c r="D110" s="212"/>
      <c r="E110" s="213"/>
      <c r="F110" s="212"/>
      <c r="G110" s="213"/>
      <c r="H110" s="213"/>
      <c r="I110" s="213"/>
      <c r="J110" s="213"/>
      <c r="K110" s="213"/>
      <c r="L110" s="213"/>
      <c r="M110" s="212"/>
      <c r="N110" s="213"/>
      <c r="O110" s="213"/>
      <c r="P110" s="212"/>
      <c r="Q110" s="210"/>
      <c r="R110" s="212"/>
      <c r="S110" s="212"/>
      <c r="T110" s="213"/>
      <c r="U110" s="212"/>
      <c r="V110" s="213"/>
      <c r="W110" s="210"/>
      <c r="X110" s="210"/>
      <c r="Y110" s="210"/>
      <c r="Z110" s="210"/>
      <c r="AA110" s="210"/>
      <c r="AB110" s="212"/>
      <c r="AC110" s="212"/>
      <c r="AD110" s="213"/>
      <c r="AE110" s="214"/>
    </row>
    <row r="111" spans="1:31" x14ac:dyDescent="0.2">
      <c r="A111" s="215" t="s">
        <v>56</v>
      </c>
      <c r="B111" s="216"/>
      <c r="C111" s="216"/>
      <c r="D111" s="216"/>
      <c r="E111" s="216"/>
      <c r="F111" s="217"/>
      <c r="G111" s="216"/>
      <c r="H111" s="216"/>
      <c r="I111" s="216"/>
      <c r="J111" s="216"/>
      <c r="K111" s="216"/>
      <c r="L111" s="216"/>
      <c r="M111" s="217"/>
      <c r="N111" s="216"/>
      <c r="O111" s="216"/>
      <c r="P111" s="217"/>
      <c r="Q111" s="216"/>
      <c r="R111" s="232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32"/>
      <c r="AC111" s="216"/>
      <c r="AD111" s="216"/>
      <c r="AE111" s="218"/>
    </row>
    <row r="112" spans="1:31" x14ac:dyDescent="0.2">
      <c r="A112" s="219"/>
      <c r="B112" s="220"/>
      <c r="C112" s="221"/>
      <c r="D112" s="222"/>
      <c r="E112" s="223"/>
      <c r="F112" s="222"/>
      <c r="G112" s="223"/>
      <c r="H112" s="223"/>
      <c r="I112" s="223"/>
      <c r="J112" s="223"/>
      <c r="K112" s="223"/>
      <c r="L112" s="223"/>
      <c r="M112" s="222"/>
      <c r="N112" s="223"/>
      <c r="O112" s="223"/>
      <c r="P112" s="222"/>
      <c r="Q112" s="220"/>
      <c r="R112" s="222"/>
      <c r="S112" s="222"/>
      <c r="T112" s="223"/>
      <c r="U112" s="222"/>
      <c r="V112" s="223"/>
      <c r="W112" s="220"/>
      <c r="X112" s="220"/>
      <c r="Y112" s="220"/>
      <c r="Z112" s="220"/>
      <c r="AA112" s="220"/>
      <c r="AB112" s="233"/>
      <c r="AC112" s="222"/>
      <c r="AD112" s="223"/>
      <c r="AE112" s="224"/>
    </row>
    <row r="113" spans="1:31" x14ac:dyDescent="0.2">
      <c r="A113" s="64" t="s">
        <v>58</v>
      </c>
      <c r="B113" s="65"/>
      <c r="C113" s="66"/>
      <c r="D113" s="67"/>
      <c r="E113" s="68"/>
      <c r="F113" s="67"/>
      <c r="G113" s="68"/>
      <c r="H113" s="68"/>
      <c r="I113" s="68"/>
      <c r="J113" s="68"/>
      <c r="K113" s="68"/>
      <c r="L113" s="68"/>
      <c r="M113" s="67"/>
      <c r="N113" s="68"/>
      <c r="O113" s="68"/>
      <c r="P113" s="67"/>
      <c r="Q113" s="65"/>
      <c r="R113" s="67"/>
      <c r="S113" s="67"/>
      <c r="T113" s="68"/>
      <c r="U113" s="67"/>
      <c r="V113" s="68"/>
      <c r="W113" s="65"/>
      <c r="X113" s="65"/>
      <c r="Y113" s="65"/>
      <c r="Z113" s="65"/>
      <c r="AA113" s="65"/>
      <c r="AB113" s="67"/>
      <c r="AC113" s="67"/>
      <c r="AD113" s="68"/>
      <c r="AE113" s="69"/>
    </row>
    <row r="114" spans="1:31" x14ac:dyDescent="0.2">
      <c r="A114" s="70" t="s">
        <v>71</v>
      </c>
      <c r="B114" s="71"/>
      <c r="C114" s="71"/>
      <c r="D114" s="71"/>
      <c r="E114" s="71"/>
      <c r="F114" s="84"/>
      <c r="G114" s="71"/>
      <c r="H114" s="71"/>
      <c r="I114" s="71"/>
      <c r="J114" s="71"/>
      <c r="K114" s="71"/>
      <c r="L114" s="71"/>
      <c r="M114" s="84"/>
      <c r="N114" s="71"/>
      <c r="O114" s="71"/>
      <c r="P114" s="84"/>
      <c r="Q114" s="71"/>
      <c r="R114" s="234"/>
      <c r="S114" s="71"/>
      <c r="T114" s="71"/>
      <c r="U114" s="71"/>
      <c r="V114" s="71"/>
      <c r="W114" s="71"/>
      <c r="X114" s="71"/>
      <c r="Y114" s="71"/>
      <c r="Z114" s="71"/>
      <c r="AA114" s="71"/>
      <c r="AB114" s="234"/>
      <c r="AC114" s="71"/>
      <c r="AD114" s="71"/>
      <c r="AE114" s="72"/>
    </row>
    <row r="115" spans="1:31" x14ac:dyDescent="0.2">
      <c r="A115" s="70" t="s">
        <v>72</v>
      </c>
      <c r="B115" s="71"/>
      <c r="C115" s="71"/>
      <c r="D115" s="71"/>
      <c r="E115" s="71"/>
      <c r="F115" s="84"/>
      <c r="G115" s="71"/>
      <c r="H115" s="71"/>
      <c r="I115" s="71"/>
      <c r="J115" s="71"/>
      <c r="K115" s="71"/>
      <c r="L115" s="71"/>
      <c r="M115" s="84"/>
      <c r="N115" s="71"/>
      <c r="O115" s="71"/>
      <c r="P115" s="84"/>
      <c r="Q115" s="71"/>
      <c r="R115" s="234"/>
      <c r="S115" s="71"/>
      <c r="T115" s="71"/>
      <c r="U115" s="71"/>
      <c r="V115" s="71"/>
      <c r="W115" s="71"/>
      <c r="X115" s="71"/>
      <c r="Y115" s="71"/>
      <c r="Z115" s="71"/>
      <c r="AA115" s="71"/>
      <c r="AB115" s="234"/>
      <c r="AC115" s="71"/>
      <c r="AD115" s="71"/>
      <c r="AE115" s="72"/>
    </row>
    <row r="116" spans="1:31" x14ac:dyDescent="0.2">
      <c r="A116" s="70" t="s">
        <v>59</v>
      </c>
      <c r="B116" s="71"/>
      <c r="C116" s="71"/>
      <c r="D116" s="71"/>
      <c r="E116" s="71"/>
      <c r="F116" s="84"/>
      <c r="G116" s="71"/>
      <c r="H116" s="71"/>
      <c r="I116" s="71"/>
      <c r="J116" s="71"/>
      <c r="K116" s="71"/>
      <c r="L116" s="71"/>
      <c r="M116" s="84"/>
      <c r="N116" s="71"/>
      <c r="O116" s="71"/>
      <c r="P116" s="84"/>
      <c r="Q116" s="71"/>
      <c r="R116" s="234"/>
      <c r="S116" s="71"/>
      <c r="T116" s="71"/>
      <c r="U116" s="71"/>
      <c r="V116" s="71"/>
      <c r="W116" s="71"/>
      <c r="X116" s="71"/>
      <c r="Y116" s="71"/>
      <c r="Z116" s="71"/>
      <c r="AA116" s="71"/>
      <c r="AB116" s="234"/>
      <c r="AC116" s="71"/>
      <c r="AD116" s="71"/>
      <c r="AE116" s="72"/>
    </row>
    <row r="117" spans="1:31" x14ac:dyDescent="0.2">
      <c r="A117" s="70" t="s">
        <v>60</v>
      </c>
      <c r="B117" s="71"/>
      <c r="C117" s="71"/>
      <c r="D117" s="71"/>
      <c r="E117" s="71"/>
      <c r="F117" s="84"/>
      <c r="G117" s="71"/>
      <c r="H117" s="71"/>
      <c r="I117" s="71"/>
      <c r="J117" s="71"/>
      <c r="K117" s="71"/>
      <c r="L117" s="71"/>
      <c r="M117" s="84"/>
      <c r="N117" s="71"/>
      <c r="O117" s="71"/>
      <c r="P117" s="84"/>
      <c r="Q117" s="71"/>
      <c r="R117" s="234"/>
      <c r="S117" s="71"/>
      <c r="T117" s="71"/>
      <c r="U117" s="71"/>
      <c r="V117" s="71"/>
      <c r="W117" s="71"/>
      <c r="X117" s="71"/>
      <c r="Y117" s="71"/>
      <c r="Z117" s="71"/>
      <c r="AA117" s="71"/>
      <c r="AB117" s="234"/>
      <c r="AC117" s="71"/>
      <c r="AD117" s="71"/>
      <c r="AE117" s="72"/>
    </row>
    <row r="118" spans="1:31" x14ac:dyDescent="0.2">
      <c r="A118" s="70" t="s">
        <v>61</v>
      </c>
      <c r="B118" s="71"/>
      <c r="C118" s="71"/>
      <c r="D118" s="71"/>
      <c r="E118" s="71"/>
      <c r="F118" s="84"/>
      <c r="G118" s="71"/>
      <c r="H118" s="71"/>
      <c r="I118" s="71"/>
      <c r="J118" s="71"/>
      <c r="K118" s="71"/>
      <c r="L118" s="71"/>
      <c r="M118" s="84"/>
      <c r="N118" s="71"/>
      <c r="O118" s="71"/>
      <c r="P118" s="84"/>
      <c r="Q118" s="71"/>
      <c r="R118" s="234"/>
      <c r="S118" s="71"/>
      <c r="T118" s="71"/>
      <c r="U118" s="71"/>
      <c r="V118" s="71"/>
      <c r="W118" s="71"/>
      <c r="X118" s="71"/>
      <c r="Y118" s="71"/>
      <c r="Z118" s="71"/>
      <c r="AA118" s="71"/>
      <c r="AB118" s="234"/>
      <c r="AC118" s="71"/>
      <c r="AD118" s="71"/>
      <c r="AE118" s="72"/>
    </row>
    <row r="119" spans="1:31" x14ac:dyDescent="0.2">
      <c r="A119" s="73"/>
      <c r="B119" s="74"/>
      <c r="C119" s="75"/>
      <c r="D119" s="76"/>
      <c r="E119" s="77"/>
      <c r="F119" s="76"/>
      <c r="G119" s="77"/>
      <c r="H119" s="77"/>
      <c r="I119" s="77"/>
      <c r="J119" s="77"/>
      <c r="K119" s="77"/>
      <c r="L119" s="77"/>
      <c r="M119" s="76"/>
      <c r="N119" s="77"/>
      <c r="O119" s="77"/>
      <c r="P119" s="76"/>
      <c r="Q119" s="74"/>
      <c r="R119" s="76"/>
      <c r="S119" s="76"/>
      <c r="T119" s="77"/>
      <c r="U119" s="76"/>
      <c r="V119" s="77"/>
      <c r="W119" s="74"/>
      <c r="X119" s="74"/>
      <c r="Y119" s="74"/>
      <c r="Z119" s="74"/>
      <c r="AA119" s="74"/>
      <c r="AB119" s="76"/>
      <c r="AC119" s="76"/>
      <c r="AD119" s="77"/>
      <c r="AE119" s="78"/>
    </row>
  </sheetData>
  <sheetProtection algorithmName="SHA-512" hashValue="ejbUG1Gor0JNJyE8dKt5Frg4fZAh2S+XwATUH+9C+DxJdFnsWl/ZXfZJmtbPquyNy/8DSqPmQaUBSKkTFPiUeQ==" saltValue="Xkfs8rFSDjskIylZAq6HAg==" spinCount="100000" sheet="1" formatCells="0" formatColumns="0" formatRows="0"/>
  <sortState xmlns:xlrd2="http://schemas.microsoft.com/office/spreadsheetml/2017/richdata2" ref="A36:AE82">
    <sortCondition ref="A36:A82"/>
  </sortState>
  <mergeCells count="12">
    <mergeCell ref="X3:Y3"/>
    <mergeCell ref="AB3:AC3"/>
    <mergeCell ref="H3:I3"/>
    <mergeCell ref="Z3:AA3"/>
    <mergeCell ref="AD3:AE3"/>
    <mergeCell ref="T3:W3"/>
    <mergeCell ref="P3:Q3"/>
    <mergeCell ref="D3:E3"/>
    <mergeCell ref="F3:G3"/>
    <mergeCell ref="J3:K3"/>
    <mergeCell ref="R3:S3"/>
    <mergeCell ref="L3:O3"/>
  </mergeCells>
  <phoneticPr fontId="0" type="noConversion"/>
  <printOptions horizontalCentered="1" gridLines="1"/>
  <pageMargins left="0.25" right="0.25" top="0.21" bottom="0.28000000000000003" header="0.12" footer="0.17"/>
  <pageSetup paperSize="9" scale="72" fitToWidth="4" fitToHeight="10" orientation="landscape" r:id="rId1"/>
  <headerFooter alignWithMargins="0">
    <oddFooter>Page &amp;P of &amp;N</oddFooter>
  </headerFooter>
  <rowBreaks count="1" manualBreakCount="1">
    <brk id="84" max="28" man="1"/>
  </rowBreaks>
  <colBreaks count="3" manualBreakCount="3">
    <brk id="11" max="114" man="1"/>
    <brk id="19" max="114" man="1"/>
    <brk id="27" max="11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4" activePane="bottomLeft" state="frozen"/>
      <selection pane="bottomLeft" activeCell="M12" sqref="M12"/>
    </sheetView>
  </sheetViews>
  <sheetFormatPr defaultColWidth="11.42578125" defaultRowHeight="15" x14ac:dyDescent="0.25"/>
  <cols>
    <col min="1" max="1" width="33.28515625" style="120" customWidth="1"/>
    <col min="2" max="2" width="5.5703125" style="133" bestFit="1" customWidth="1"/>
    <col min="3" max="3" width="9.85546875" style="134" customWidth="1"/>
    <col min="4" max="4" width="10.28515625" style="134" customWidth="1"/>
    <col min="5" max="5" width="9.42578125" style="134" bestFit="1" customWidth="1"/>
    <col min="6" max="6" width="12.42578125" style="134" customWidth="1"/>
    <col min="7" max="7" width="9.28515625" style="134" customWidth="1"/>
    <col min="8" max="8" width="12.28515625" style="134" customWidth="1"/>
    <col min="9" max="9" width="8.140625" style="134" bestFit="1" customWidth="1"/>
    <col min="10" max="10" width="9.5703125" style="135" customWidth="1"/>
    <col min="11" max="12" width="11.42578125" style="119"/>
    <col min="13" max="13" width="14.85546875" style="136" bestFit="1" customWidth="1"/>
    <col min="14" max="14" width="9.85546875" style="136" bestFit="1" customWidth="1"/>
    <col min="15" max="16" width="9.28515625" style="136" bestFit="1" customWidth="1"/>
    <col min="17" max="19" width="10.7109375" style="136" bestFit="1" customWidth="1"/>
    <col min="20" max="16384" width="11.42578125" style="122"/>
  </cols>
  <sheetData>
    <row r="1" spans="1:19" s="120" customFormat="1" ht="45" x14ac:dyDescent="0.25">
      <c r="A1" s="237" t="s">
        <v>128</v>
      </c>
      <c r="B1" s="238"/>
      <c r="C1" s="239">
        <v>1204</v>
      </c>
      <c r="D1" s="238">
        <v>3604</v>
      </c>
      <c r="E1" s="238">
        <v>4076</v>
      </c>
      <c r="F1" s="238">
        <v>3620</v>
      </c>
      <c r="G1" s="239" t="s">
        <v>73</v>
      </c>
      <c r="H1" s="238">
        <v>4561</v>
      </c>
      <c r="I1" s="238" t="s">
        <v>74</v>
      </c>
      <c r="J1" s="240" t="s">
        <v>118</v>
      </c>
      <c r="K1" s="241" t="s">
        <v>75</v>
      </c>
      <c r="L1" s="241" t="s">
        <v>76</v>
      </c>
      <c r="M1" s="240" t="s">
        <v>77</v>
      </c>
      <c r="N1" s="240" t="s">
        <v>78</v>
      </c>
      <c r="O1" s="240" t="s">
        <v>79</v>
      </c>
      <c r="P1" s="240" t="s">
        <v>80</v>
      </c>
      <c r="Q1" s="240" t="s">
        <v>81</v>
      </c>
      <c r="R1" s="240" t="s">
        <v>82</v>
      </c>
      <c r="S1" s="240" t="s">
        <v>122</v>
      </c>
    </row>
    <row r="2" spans="1:19" s="121" customFormat="1" ht="30" x14ac:dyDescent="0.25">
      <c r="A2" s="242" t="s">
        <v>129</v>
      </c>
      <c r="B2" s="243"/>
      <c r="C2" s="244">
        <v>30</v>
      </c>
      <c r="D2" s="243">
        <v>77</v>
      </c>
      <c r="E2" s="243">
        <v>19.100000000000001</v>
      </c>
      <c r="F2" s="243">
        <v>50</v>
      </c>
      <c r="G2" s="244">
        <v>7.5</v>
      </c>
      <c r="H2" s="243" t="s">
        <v>130</v>
      </c>
      <c r="I2" s="243"/>
      <c r="J2" s="245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120" customFormat="1" x14ac:dyDescent="0.25">
      <c r="A3" s="237"/>
      <c r="B3" s="238"/>
      <c r="C3" s="239" t="s">
        <v>83</v>
      </c>
      <c r="D3" s="238" t="s">
        <v>84</v>
      </c>
      <c r="E3" s="238" t="s">
        <v>85</v>
      </c>
      <c r="F3" s="238" t="s">
        <v>86</v>
      </c>
      <c r="G3" s="239"/>
      <c r="H3" s="238" t="s">
        <v>87</v>
      </c>
      <c r="I3" s="238"/>
      <c r="J3" s="246"/>
      <c r="K3" s="241"/>
      <c r="L3" s="241"/>
      <c r="M3" s="240"/>
      <c r="N3" s="240"/>
      <c r="O3" s="240"/>
      <c r="P3" s="240"/>
      <c r="Q3" s="240"/>
      <c r="R3" s="240"/>
      <c r="S3" s="240"/>
    </row>
    <row r="4" spans="1:19" x14ac:dyDescent="0.25">
      <c r="A4" s="99" t="s">
        <v>88</v>
      </c>
      <c r="B4" s="100">
        <v>2023</v>
      </c>
      <c r="C4" s="101">
        <v>16.707999999999998</v>
      </c>
      <c r="D4" s="101">
        <v>23.67</v>
      </c>
      <c r="E4" s="101">
        <v>19.315000000000001</v>
      </c>
      <c r="F4" s="101">
        <v>15.925000000000001</v>
      </c>
      <c r="G4" s="101"/>
      <c r="H4" s="101">
        <v>22.271000000000001</v>
      </c>
      <c r="I4" s="101"/>
      <c r="J4" s="102"/>
      <c r="K4" s="101"/>
      <c r="L4" s="101"/>
      <c r="M4" s="103"/>
      <c r="N4" s="103"/>
      <c r="O4" s="103"/>
      <c r="P4" s="103"/>
      <c r="Q4" s="103"/>
      <c r="R4" s="103"/>
      <c r="S4" s="103"/>
    </row>
    <row r="5" spans="1:19" x14ac:dyDescent="0.25">
      <c r="A5" s="123" t="s">
        <v>88</v>
      </c>
      <c r="B5" s="124">
        <v>2024</v>
      </c>
      <c r="C5" s="104">
        <v>17.577000000000002</v>
      </c>
      <c r="D5" s="104">
        <v>24.901</v>
      </c>
      <c r="E5" s="104">
        <v>19.315000000000001</v>
      </c>
      <c r="F5" s="104">
        <v>16.753</v>
      </c>
      <c r="G5" s="104"/>
      <c r="H5" s="104">
        <v>22.271000000000001</v>
      </c>
      <c r="I5" s="104"/>
      <c r="J5" s="105"/>
      <c r="K5" s="104"/>
      <c r="L5" s="104"/>
      <c r="M5" s="106"/>
      <c r="N5" s="106"/>
      <c r="O5" s="106"/>
      <c r="P5" s="106"/>
      <c r="Q5" s="106"/>
      <c r="R5" s="106"/>
      <c r="S5" s="106"/>
    </row>
    <row r="6" spans="1:19" x14ac:dyDescent="0.25">
      <c r="A6" s="99" t="s">
        <v>123</v>
      </c>
      <c r="B6" s="100">
        <v>2023</v>
      </c>
      <c r="C6" s="101">
        <v>16.45</v>
      </c>
      <c r="D6" s="101">
        <v>23.38</v>
      </c>
      <c r="E6" s="101">
        <v>18.93</v>
      </c>
      <c r="F6" s="101">
        <v>15.72</v>
      </c>
      <c r="G6" s="101">
        <v>26.7</v>
      </c>
      <c r="H6" s="101">
        <v>22.03</v>
      </c>
      <c r="I6" s="101"/>
      <c r="J6" s="102"/>
      <c r="K6" s="101"/>
      <c r="L6" s="101"/>
      <c r="M6" s="103"/>
      <c r="N6" s="103"/>
      <c r="O6" s="103"/>
      <c r="P6" s="103"/>
      <c r="Q6" s="103"/>
      <c r="R6" s="103"/>
      <c r="S6" s="103"/>
    </row>
    <row r="7" spans="1:19" x14ac:dyDescent="0.25">
      <c r="A7" s="123" t="s">
        <v>123</v>
      </c>
      <c r="B7" s="124">
        <v>2024</v>
      </c>
      <c r="C7" s="104">
        <f>529.8/30</f>
        <v>17.66</v>
      </c>
      <c r="D7" s="104">
        <f>1926.4/77</f>
        <v>25.018181818181819</v>
      </c>
      <c r="E7" s="104">
        <v>0</v>
      </c>
      <c r="F7" s="104">
        <f>841.8/50</f>
        <v>16.835999999999999</v>
      </c>
      <c r="G7" s="104">
        <f>214/7.5</f>
        <v>28.533333333333335</v>
      </c>
      <c r="H7" s="104">
        <v>0</v>
      </c>
      <c r="I7" s="104"/>
      <c r="J7" s="105"/>
      <c r="K7" s="104"/>
      <c r="L7" s="104"/>
      <c r="M7" s="106"/>
      <c r="N7" s="106"/>
      <c r="O7" s="106"/>
      <c r="P7" s="106"/>
      <c r="Q7" s="106"/>
      <c r="R7" s="106"/>
      <c r="S7" s="106"/>
    </row>
    <row r="8" spans="1:19" x14ac:dyDescent="0.25">
      <c r="A8" s="99" t="s">
        <v>90</v>
      </c>
      <c r="B8" s="100">
        <v>2023</v>
      </c>
      <c r="C8" s="101">
        <v>16.192</v>
      </c>
      <c r="D8" s="101">
        <v>22.937999999999999</v>
      </c>
      <c r="E8" s="101">
        <v>14.794</v>
      </c>
      <c r="F8" s="101">
        <v>15.435</v>
      </c>
      <c r="G8" s="101">
        <v>0</v>
      </c>
      <c r="H8" s="101">
        <v>20.981999999999999</v>
      </c>
      <c r="I8" s="101"/>
      <c r="J8" s="102"/>
      <c r="K8" s="101"/>
      <c r="L8" s="101"/>
      <c r="M8" s="103"/>
      <c r="N8" s="103"/>
      <c r="O8" s="103"/>
      <c r="P8" s="103"/>
      <c r="Q8" s="103"/>
      <c r="R8" s="103"/>
      <c r="S8" s="103"/>
    </row>
    <row r="9" spans="1:19" x14ac:dyDescent="0.25">
      <c r="A9" s="123" t="s">
        <v>90</v>
      </c>
      <c r="B9" s="124">
        <v>2024</v>
      </c>
      <c r="C9" s="104">
        <v>17.033999999999999</v>
      </c>
      <c r="D9" s="104">
        <v>24.131</v>
      </c>
      <c r="E9" s="104">
        <v>19.14</v>
      </c>
      <c r="F9" s="104">
        <v>16.238</v>
      </c>
      <c r="G9" s="104">
        <v>0</v>
      </c>
      <c r="H9" s="104">
        <v>22.073</v>
      </c>
      <c r="I9" s="104"/>
      <c r="J9" s="105"/>
      <c r="K9" s="104"/>
      <c r="L9" s="104"/>
      <c r="M9" s="104"/>
      <c r="N9" s="104"/>
      <c r="O9" s="104"/>
      <c r="P9" s="104"/>
      <c r="Q9" s="106"/>
      <c r="R9" s="106"/>
      <c r="S9" s="106"/>
    </row>
    <row r="10" spans="1:19" x14ac:dyDescent="0.25">
      <c r="A10" s="99" t="s">
        <v>119</v>
      </c>
      <c r="B10" s="100">
        <v>2023</v>
      </c>
      <c r="C10" s="101">
        <v>16.422000000000001</v>
      </c>
      <c r="D10" s="101">
        <v>23.263000000000002</v>
      </c>
      <c r="E10" s="101">
        <v>17.442</v>
      </c>
      <c r="F10" s="101">
        <v>15.657999999999999</v>
      </c>
      <c r="G10" s="101">
        <v>0</v>
      </c>
      <c r="H10" s="101">
        <v>21.283000000000001</v>
      </c>
      <c r="I10" s="101"/>
      <c r="J10" s="102"/>
      <c r="K10" s="101"/>
      <c r="L10" s="101"/>
      <c r="M10" s="103"/>
      <c r="N10" s="103"/>
      <c r="O10" s="103"/>
      <c r="P10" s="103"/>
      <c r="Q10" s="103"/>
      <c r="R10" s="103"/>
      <c r="S10" s="103"/>
    </row>
    <row r="11" spans="1:19" x14ac:dyDescent="0.25">
      <c r="A11" s="123" t="s">
        <v>119</v>
      </c>
      <c r="B11" s="124">
        <v>2024</v>
      </c>
      <c r="C11" s="104">
        <v>17.276</v>
      </c>
      <c r="D11" s="104">
        <v>24.472999999999999</v>
      </c>
      <c r="E11" s="104">
        <v>19.414000000000001</v>
      </c>
      <c r="F11" s="104">
        <v>16.472000000000001</v>
      </c>
      <c r="G11" s="104">
        <v>0</v>
      </c>
      <c r="H11" s="104">
        <v>22.39</v>
      </c>
      <c r="I11" s="104"/>
      <c r="J11" s="105"/>
      <c r="K11" s="104"/>
      <c r="L11" s="104"/>
      <c r="M11" s="106"/>
      <c r="N11" s="106"/>
      <c r="O11" s="106"/>
      <c r="P11" s="106"/>
      <c r="Q11" s="106"/>
      <c r="R11" s="106"/>
      <c r="S11" s="106"/>
    </row>
    <row r="12" spans="1:19" x14ac:dyDescent="0.25">
      <c r="A12" s="99" t="s">
        <v>91</v>
      </c>
      <c r="B12" s="100">
        <v>2023</v>
      </c>
      <c r="C12" s="101">
        <v>15.52</v>
      </c>
      <c r="D12" s="101">
        <v>21.99</v>
      </c>
      <c r="E12" s="101">
        <v>17.809999999999999</v>
      </c>
      <c r="F12" s="101">
        <v>14.81</v>
      </c>
      <c r="G12" s="101">
        <v>25.2</v>
      </c>
      <c r="H12" s="101">
        <v>20.73</v>
      </c>
      <c r="I12" s="101"/>
      <c r="J12" s="102"/>
      <c r="K12" s="101"/>
      <c r="L12" s="101"/>
      <c r="M12" s="103"/>
      <c r="N12" s="103"/>
      <c r="O12" s="103"/>
      <c r="P12" s="103"/>
      <c r="Q12" s="103"/>
      <c r="R12" s="103"/>
      <c r="S12" s="103"/>
    </row>
    <row r="13" spans="1:19" x14ac:dyDescent="0.25">
      <c r="A13" s="123" t="s">
        <v>91</v>
      </c>
      <c r="B13" s="124">
        <v>2024</v>
      </c>
      <c r="C13" s="104">
        <v>16.48</v>
      </c>
      <c r="D13" s="104">
        <v>23.35</v>
      </c>
      <c r="E13" s="104">
        <v>18.91</v>
      </c>
      <c r="F13" s="104">
        <v>15.73</v>
      </c>
      <c r="G13" s="104">
        <v>26.66</v>
      </c>
      <c r="H13" s="104">
        <v>22.01</v>
      </c>
      <c r="I13" s="104"/>
      <c r="J13" s="105"/>
      <c r="K13" s="104"/>
      <c r="L13" s="104"/>
      <c r="M13" s="106"/>
      <c r="N13" s="106"/>
      <c r="O13" s="106"/>
      <c r="P13" s="106"/>
      <c r="Q13" s="106"/>
      <c r="R13" s="106"/>
      <c r="S13" s="106"/>
    </row>
    <row r="14" spans="1:19" x14ac:dyDescent="0.25">
      <c r="A14" s="99" t="s">
        <v>92</v>
      </c>
      <c r="B14" s="100">
        <v>2023</v>
      </c>
      <c r="C14" s="101">
        <v>15.629999999999999</v>
      </c>
      <c r="D14" s="101">
        <v>22.146753246753246</v>
      </c>
      <c r="E14" s="101">
        <v>12.047120418848166</v>
      </c>
      <c r="F14" s="101">
        <v>14.898</v>
      </c>
      <c r="G14" s="101">
        <v>25.266666666666666</v>
      </c>
      <c r="H14" s="101">
        <v>20.853932584269661</v>
      </c>
      <c r="I14" s="101"/>
      <c r="J14" s="102"/>
      <c r="K14" s="101"/>
      <c r="L14" s="101"/>
      <c r="M14" s="103"/>
      <c r="N14" s="103"/>
      <c r="O14" s="103"/>
      <c r="P14" s="103"/>
      <c r="Q14" s="103"/>
      <c r="R14" s="103"/>
      <c r="S14" s="103"/>
    </row>
    <row r="15" spans="1:19" x14ac:dyDescent="0.25">
      <c r="A15" s="99" t="s">
        <v>93</v>
      </c>
      <c r="B15" s="100">
        <v>2023</v>
      </c>
      <c r="C15" s="101">
        <v>16.073333333333334</v>
      </c>
      <c r="D15" s="101">
        <v>22.76883116883117</v>
      </c>
      <c r="E15" s="101">
        <v>18.575916230366492</v>
      </c>
      <c r="F15" s="101">
        <v>15.322000000000001</v>
      </c>
      <c r="G15" s="101">
        <v>25.973333333333336</v>
      </c>
      <c r="H15" s="101">
        <v>21.432835820895519</v>
      </c>
      <c r="I15" s="101"/>
      <c r="J15" s="102"/>
      <c r="K15" s="101"/>
      <c r="L15" s="101"/>
      <c r="M15" s="103"/>
      <c r="N15" s="103"/>
      <c r="O15" s="103"/>
      <c r="P15" s="103"/>
      <c r="Q15" s="103"/>
      <c r="R15" s="103"/>
      <c r="S15" s="103"/>
    </row>
    <row r="16" spans="1:19" x14ac:dyDescent="0.25">
      <c r="A16" s="99" t="s">
        <v>94</v>
      </c>
      <c r="B16" s="100">
        <v>2023</v>
      </c>
      <c r="C16" s="101">
        <v>16.073333333333334</v>
      </c>
      <c r="D16" s="101">
        <v>22.76883116883117</v>
      </c>
      <c r="E16" s="101">
        <v>18.575916230366492</v>
      </c>
      <c r="F16" s="101">
        <v>15.322000000000001</v>
      </c>
      <c r="G16" s="101">
        <v>25.973333333333336</v>
      </c>
      <c r="H16" s="101">
        <v>21.432835820895519</v>
      </c>
      <c r="I16" s="101"/>
      <c r="J16" s="102"/>
      <c r="K16" s="101"/>
      <c r="L16" s="101"/>
      <c r="M16" s="103"/>
      <c r="N16" s="103"/>
      <c r="O16" s="103"/>
      <c r="P16" s="103"/>
      <c r="Q16" s="103"/>
      <c r="R16" s="103"/>
      <c r="S16" s="103"/>
    </row>
    <row r="17" spans="1:19" ht="90" x14ac:dyDescent="0.25">
      <c r="A17" s="107" t="s">
        <v>131</v>
      </c>
      <c r="B17" s="100">
        <v>2023</v>
      </c>
      <c r="C17" s="101">
        <v>16.413333333333334</v>
      </c>
      <c r="D17" s="101">
        <v>23.250649350649351</v>
      </c>
      <c r="E17" s="101">
        <v>18.973821989528794</v>
      </c>
      <c r="F17" s="101">
        <v>15.644</v>
      </c>
      <c r="G17" s="101">
        <v>26.56</v>
      </c>
      <c r="H17" s="101">
        <v>21.880597014925371</v>
      </c>
      <c r="I17" s="101"/>
      <c r="J17" s="102"/>
      <c r="K17" s="101">
        <v>0</v>
      </c>
      <c r="L17" s="101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</row>
    <row r="18" spans="1:19" x14ac:dyDescent="0.25">
      <c r="A18" s="99" t="s">
        <v>95</v>
      </c>
      <c r="B18" s="100">
        <v>2023</v>
      </c>
      <c r="C18" s="101">
        <v>17.276666666666664</v>
      </c>
      <c r="D18" s="101">
        <v>24.471428571428572</v>
      </c>
      <c r="E18" s="101">
        <v>13.31937172774869</v>
      </c>
      <c r="F18" s="101">
        <v>16.472000000000001</v>
      </c>
      <c r="G18" s="101">
        <v>27.893333333333331</v>
      </c>
      <c r="H18" s="101">
        <v>23.067415730337078</v>
      </c>
      <c r="I18" s="101"/>
      <c r="J18" s="102"/>
      <c r="K18" s="101"/>
      <c r="L18" s="101"/>
      <c r="M18" s="103"/>
      <c r="N18" s="103"/>
      <c r="O18" s="103"/>
      <c r="P18" s="103"/>
      <c r="Q18" s="103"/>
      <c r="R18" s="103"/>
      <c r="S18" s="103"/>
    </row>
    <row r="19" spans="1:19" x14ac:dyDescent="0.25">
      <c r="A19" s="99" t="s">
        <v>96</v>
      </c>
      <c r="B19" s="100">
        <v>2023</v>
      </c>
      <c r="C19" s="101">
        <v>22.066666666666666</v>
      </c>
      <c r="D19" s="101">
        <v>31.28051948051948</v>
      </c>
      <c r="E19" s="101">
        <v>25.523560209424083</v>
      </c>
      <c r="F19" s="101">
        <v>21.045999999999999</v>
      </c>
      <c r="G19" s="101">
        <v>35.706666666666671</v>
      </c>
      <c r="H19" s="101">
        <v>29.440298507462686</v>
      </c>
      <c r="I19" s="101"/>
      <c r="J19" s="102"/>
      <c r="K19" s="101"/>
      <c r="L19" s="101"/>
      <c r="M19" s="103"/>
      <c r="N19" s="103"/>
      <c r="O19" s="103"/>
      <c r="P19" s="103"/>
      <c r="Q19" s="103"/>
      <c r="R19" s="103"/>
      <c r="S19" s="103"/>
    </row>
    <row r="20" spans="1:19" x14ac:dyDescent="0.25">
      <c r="A20" s="99" t="s">
        <v>97</v>
      </c>
      <c r="B20" s="100">
        <v>2023</v>
      </c>
      <c r="C20" s="101">
        <v>22.066666666666666</v>
      </c>
      <c r="D20" s="101">
        <v>31.28051948051948</v>
      </c>
      <c r="E20" s="101">
        <v>25.523560209424083</v>
      </c>
      <c r="F20" s="101">
        <v>21.045999999999999</v>
      </c>
      <c r="G20" s="101">
        <v>35.706666666666671</v>
      </c>
      <c r="H20" s="101">
        <v>29.440298507462686</v>
      </c>
      <c r="I20" s="101"/>
      <c r="J20" s="102"/>
      <c r="K20" s="101"/>
      <c r="L20" s="101"/>
      <c r="M20" s="103"/>
      <c r="N20" s="103"/>
      <c r="O20" s="103"/>
      <c r="P20" s="103"/>
      <c r="Q20" s="103"/>
      <c r="R20" s="103"/>
      <c r="S20" s="103"/>
    </row>
    <row r="21" spans="1:19" ht="105" x14ac:dyDescent="0.25">
      <c r="A21" s="107" t="s">
        <v>98</v>
      </c>
      <c r="B21" s="100">
        <v>2023</v>
      </c>
      <c r="C21" s="101">
        <v>22.076666666666664</v>
      </c>
      <c r="D21" s="101">
        <v>31.28051948051948</v>
      </c>
      <c r="E21" s="101">
        <v>19.633507853403138</v>
      </c>
      <c r="F21" s="101">
        <v>21.048000000000002</v>
      </c>
      <c r="G21" s="101">
        <v>19.992537313432834</v>
      </c>
      <c r="H21" s="101">
        <v>22.641791044776117</v>
      </c>
      <c r="I21" s="101"/>
      <c r="J21" s="102"/>
      <c r="K21" s="101"/>
      <c r="L21" s="101"/>
      <c r="M21" s="103"/>
      <c r="N21" s="103"/>
      <c r="O21" s="103"/>
      <c r="P21" s="103"/>
      <c r="Q21" s="103"/>
      <c r="R21" s="103"/>
      <c r="S21" s="103"/>
    </row>
    <row r="22" spans="1:19" x14ac:dyDescent="0.25">
      <c r="A22" s="123" t="s">
        <v>92</v>
      </c>
      <c r="B22" s="124">
        <v>2024</v>
      </c>
      <c r="C22" s="104">
        <f>492.3/30</f>
        <v>16.41</v>
      </c>
      <c r="D22" s="104">
        <f>1790.6/77</f>
        <v>23.254545454545454</v>
      </c>
      <c r="E22" s="104">
        <f>241.6/19.1</f>
        <v>12.649214659685862</v>
      </c>
      <c r="F22" s="104">
        <f>782.1/50</f>
        <v>15.642000000000001</v>
      </c>
      <c r="G22" s="104">
        <f>199/7.5</f>
        <v>26.533333333333335</v>
      </c>
      <c r="H22" s="104">
        <f>194.9/8.9</f>
        <v>21.898876404494381</v>
      </c>
      <c r="I22" s="104"/>
      <c r="J22" s="105"/>
      <c r="K22" s="104"/>
      <c r="L22" s="104"/>
      <c r="M22" s="106"/>
      <c r="N22" s="106"/>
      <c r="O22" s="106"/>
      <c r="P22" s="106"/>
      <c r="Q22" s="106"/>
      <c r="R22" s="106"/>
      <c r="S22" s="106"/>
    </row>
    <row r="23" spans="1:19" x14ac:dyDescent="0.25">
      <c r="A23" s="123" t="s">
        <v>93</v>
      </c>
      <c r="B23" s="124">
        <v>2024</v>
      </c>
      <c r="C23" s="104">
        <f>506.3/30</f>
        <v>16.876666666666669</v>
      </c>
      <c r="D23" s="104">
        <f>1840.9/77</f>
        <v>23.907792207792209</v>
      </c>
      <c r="E23" s="104">
        <f>372.5/19.1</f>
        <v>19.502617801047119</v>
      </c>
      <c r="F23" s="104">
        <f>804.4/50</f>
        <v>16.088000000000001</v>
      </c>
      <c r="G23" s="104">
        <f>204.5/7.5</f>
        <v>27.266666666666666</v>
      </c>
      <c r="H23" s="104">
        <f>301.6/13.4</f>
        <v>22.507462686567166</v>
      </c>
      <c r="I23" s="104"/>
      <c r="J23" s="105"/>
      <c r="K23" s="104"/>
      <c r="L23" s="104"/>
      <c r="M23" s="106"/>
      <c r="N23" s="106"/>
      <c r="O23" s="106"/>
      <c r="P23" s="106"/>
      <c r="Q23" s="106"/>
      <c r="R23" s="106"/>
      <c r="S23" s="106"/>
    </row>
    <row r="24" spans="1:19" x14ac:dyDescent="0.25">
      <c r="A24" s="123" t="s">
        <v>94</v>
      </c>
      <c r="B24" s="124">
        <v>2024</v>
      </c>
      <c r="C24" s="226">
        <f t="shared" ref="C24:H24" si="0">C23</f>
        <v>16.876666666666669</v>
      </c>
      <c r="D24" s="226">
        <f t="shared" si="0"/>
        <v>23.907792207792209</v>
      </c>
      <c r="E24" s="226">
        <f t="shared" si="0"/>
        <v>19.502617801047119</v>
      </c>
      <c r="F24" s="226">
        <f t="shared" si="0"/>
        <v>16.088000000000001</v>
      </c>
      <c r="G24" s="226">
        <f t="shared" si="0"/>
        <v>27.266666666666666</v>
      </c>
      <c r="H24" s="226">
        <f t="shared" si="0"/>
        <v>22.507462686567166</v>
      </c>
      <c r="I24" s="104"/>
      <c r="J24" s="105"/>
      <c r="K24" s="104"/>
      <c r="L24" s="104"/>
      <c r="M24" s="106"/>
      <c r="N24" s="106"/>
      <c r="O24" s="106"/>
      <c r="P24" s="106"/>
      <c r="Q24" s="106"/>
      <c r="R24" s="106"/>
      <c r="S24" s="106"/>
    </row>
    <row r="25" spans="1:19" ht="90" x14ac:dyDescent="0.25">
      <c r="A25" s="125" t="s">
        <v>131</v>
      </c>
      <c r="B25" s="124">
        <v>2024</v>
      </c>
      <c r="C25" s="104">
        <f>517/30</f>
        <v>17.233333333333334</v>
      </c>
      <c r="D25" s="104">
        <f>1879.8/77</f>
        <v>24.412987012987013</v>
      </c>
      <c r="E25" s="104">
        <f>380.5/19.1</f>
        <v>19.921465968586386</v>
      </c>
      <c r="F25" s="104">
        <f>821.3/50</f>
        <v>16.425999999999998</v>
      </c>
      <c r="G25" s="104">
        <f>209.2/7.5</f>
        <v>27.893333333333331</v>
      </c>
      <c r="H25" s="104">
        <f>307.9/13.4</f>
        <v>22.977611940298505</v>
      </c>
      <c r="I25" s="104"/>
      <c r="J25" s="104"/>
      <c r="K25" s="104">
        <f t="shared" ref="K25:S25" si="1">K31:Z31</f>
        <v>0</v>
      </c>
      <c r="L25" s="104">
        <f t="shared" si="1"/>
        <v>0</v>
      </c>
      <c r="M25" s="104">
        <f t="shared" si="1"/>
        <v>0</v>
      </c>
      <c r="N25" s="104">
        <f t="shared" si="1"/>
        <v>0</v>
      </c>
      <c r="O25" s="104">
        <f t="shared" si="1"/>
        <v>0</v>
      </c>
      <c r="P25" s="104">
        <f t="shared" si="1"/>
        <v>0</v>
      </c>
      <c r="Q25" s="104">
        <f t="shared" si="1"/>
        <v>0</v>
      </c>
      <c r="R25" s="104">
        <f t="shared" si="1"/>
        <v>0</v>
      </c>
      <c r="S25" s="104">
        <f t="shared" si="1"/>
        <v>0</v>
      </c>
    </row>
    <row r="26" spans="1:19" x14ac:dyDescent="0.25">
      <c r="A26" s="123" t="s">
        <v>95</v>
      </c>
      <c r="B26" s="124">
        <v>2024</v>
      </c>
      <c r="C26" s="104">
        <f>546.3/30</f>
        <v>18.209999999999997</v>
      </c>
      <c r="D26" s="104">
        <f>1986.1/77</f>
        <v>25.793506493506491</v>
      </c>
      <c r="E26" s="104">
        <f>268.1/19.1</f>
        <v>14.036649214659686</v>
      </c>
      <c r="F26" s="104">
        <f>868.1/50</f>
        <v>17.362000000000002</v>
      </c>
      <c r="G26" s="104">
        <f>220.5/7.5</f>
        <v>29.4</v>
      </c>
      <c r="H26" s="104">
        <f>216.4/8.9</f>
        <v>24.314606741573034</v>
      </c>
      <c r="I26" s="104"/>
      <c r="J26" s="105"/>
      <c r="K26" s="104"/>
      <c r="L26" s="104"/>
      <c r="M26" s="106"/>
      <c r="N26" s="106"/>
      <c r="O26" s="106"/>
      <c r="P26" s="106"/>
      <c r="Q26" s="106"/>
      <c r="R26" s="106"/>
      <c r="S26" s="106"/>
    </row>
    <row r="27" spans="1:19" x14ac:dyDescent="0.25">
      <c r="A27" s="123" t="s">
        <v>96</v>
      </c>
      <c r="B27" s="124">
        <v>2024</v>
      </c>
      <c r="C27" s="226">
        <f t="shared" ref="C27:H27" si="2">C28</f>
        <v>23.256666666666668</v>
      </c>
      <c r="D27" s="226">
        <f t="shared" si="2"/>
        <v>32.970129870129867</v>
      </c>
      <c r="E27" s="226">
        <f t="shared" si="2"/>
        <v>26.900523560209418</v>
      </c>
      <c r="F27" s="226">
        <f t="shared" si="2"/>
        <v>22.181999999999999</v>
      </c>
      <c r="G27" s="226">
        <f t="shared" si="2"/>
        <v>37.64</v>
      </c>
      <c r="H27" s="226">
        <f t="shared" si="2"/>
        <v>31.029850746268657</v>
      </c>
      <c r="I27" s="104"/>
      <c r="J27" s="105"/>
      <c r="K27" s="104"/>
      <c r="L27" s="104"/>
      <c r="M27" s="106"/>
      <c r="N27" s="106"/>
      <c r="O27" s="106"/>
      <c r="P27" s="106"/>
      <c r="Q27" s="106"/>
      <c r="R27" s="106"/>
      <c r="S27" s="106"/>
    </row>
    <row r="28" spans="1:19" x14ac:dyDescent="0.25">
      <c r="A28" s="123" t="s">
        <v>97</v>
      </c>
      <c r="B28" s="124">
        <v>2024</v>
      </c>
      <c r="C28" s="104">
        <f>697.7/30</f>
        <v>23.256666666666668</v>
      </c>
      <c r="D28" s="104">
        <f>2538.7/77</f>
        <v>32.970129870129867</v>
      </c>
      <c r="E28" s="104">
        <f>513.8/19.1</f>
        <v>26.900523560209418</v>
      </c>
      <c r="F28" s="104">
        <f>1109.1/50</f>
        <v>22.181999999999999</v>
      </c>
      <c r="G28" s="104">
        <f>282.3/7.5</f>
        <v>37.64</v>
      </c>
      <c r="H28" s="104">
        <f>415.8/13.4</f>
        <v>31.029850746268657</v>
      </c>
      <c r="I28" s="104"/>
      <c r="J28" s="105"/>
      <c r="K28" s="104"/>
      <c r="L28" s="104"/>
      <c r="M28" s="106"/>
      <c r="N28" s="106"/>
      <c r="O28" s="106"/>
      <c r="P28" s="106"/>
      <c r="Q28" s="106"/>
      <c r="R28" s="106"/>
      <c r="S28" s="106"/>
    </row>
    <row r="29" spans="1:19" ht="105" x14ac:dyDescent="0.25">
      <c r="A29" s="125" t="s">
        <v>98</v>
      </c>
      <c r="B29" s="124">
        <v>2024</v>
      </c>
      <c r="C29" s="104">
        <f>698.1/30</f>
        <v>23.27</v>
      </c>
      <c r="D29" s="104">
        <f>2538.7/77</f>
        <v>32.970129870129867</v>
      </c>
      <c r="E29" s="104">
        <f>395.3/19.1</f>
        <v>20.69633507853403</v>
      </c>
      <c r="F29" s="104">
        <f>1109.2/50</f>
        <v>22.184000000000001</v>
      </c>
      <c r="G29" s="104">
        <f>282.4/7.5</f>
        <v>37.653333333333329</v>
      </c>
      <c r="H29" s="104">
        <f>319.8/13.4</f>
        <v>23.865671641791046</v>
      </c>
      <c r="I29" s="104"/>
      <c r="J29" s="105"/>
      <c r="K29" s="104"/>
      <c r="L29" s="104"/>
      <c r="M29" s="106"/>
      <c r="N29" s="106"/>
      <c r="O29" s="106"/>
      <c r="P29" s="106"/>
      <c r="Q29" s="106"/>
      <c r="R29" s="106"/>
      <c r="S29" s="106"/>
    </row>
    <row r="30" spans="1:19" x14ac:dyDescent="0.25">
      <c r="A30" s="99" t="s">
        <v>99</v>
      </c>
      <c r="B30" s="100">
        <v>2023</v>
      </c>
      <c r="C30" s="101"/>
      <c r="D30" s="101"/>
      <c r="E30" s="101"/>
      <c r="F30" s="101"/>
      <c r="G30" s="101"/>
      <c r="H30" s="101"/>
      <c r="I30" s="101"/>
      <c r="J30" s="102"/>
      <c r="K30" s="101"/>
      <c r="L30" s="101"/>
      <c r="M30" s="103"/>
      <c r="N30" s="103"/>
      <c r="O30" s="103"/>
      <c r="P30" s="103"/>
      <c r="Q30" s="103"/>
      <c r="R30" s="103"/>
      <c r="S30" s="103"/>
    </row>
    <row r="31" spans="1:19" x14ac:dyDescent="0.25">
      <c r="A31" s="123" t="s">
        <v>99</v>
      </c>
      <c r="B31" s="124">
        <v>2024</v>
      </c>
      <c r="C31" s="104"/>
      <c r="D31" s="104"/>
      <c r="E31" s="104"/>
      <c r="F31" s="104"/>
      <c r="G31" s="104"/>
      <c r="H31" s="104"/>
      <c r="I31" s="104"/>
      <c r="J31" s="105"/>
      <c r="K31" s="104"/>
      <c r="L31" s="104"/>
      <c r="M31" s="106"/>
      <c r="N31" s="106"/>
      <c r="O31" s="106"/>
      <c r="P31" s="106"/>
      <c r="Q31" s="106"/>
      <c r="R31" s="106"/>
      <c r="S31" s="106"/>
    </row>
    <row r="32" spans="1:19" x14ac:dyDescent="0.25">
      <c r="A32" s="99" t="s">
        <v>100</v>
      </c>
      <c r="B32" s="100">
        <v>2023</v>
      </c>
      <c r="C32" s="101">
        <v>17.632999999999999</v>
      </c>
      <c r="D32" s="101">
        <v>24.978000000000002</v>
      </c>
      <c r="E32" s="101">
        <v>20.384</v>
      </c>
      <c r="F32" s="101">
        <v>16.808</v>
      </c>
      <c r="G32" s="101">
        <v>31.92</v>
      </c>
      <c r="H32" s="101"/>
      <c r="I32" s="101">
        <v>28.472999999999999</v>
      </c>
      <c r="J32" s="102">
        <v>31.92</v>
      </c>
      <c r="K32" s="101"/>
      <c r="L32" s="101"/>
      <c r="M32" s="103"/>
      <c r="N32" s="103"/>
      <c r="O32" s="103"/>
      <c r="P32" s="103"/>
      <c r="Q32" s="103"/>
      <c r="R32" s="103"/>
      <c r="S32" s="103"/>
    </row>
    <row r="33" spans="1:19" x14ac:dyDescent="0.25">
      <c r="A33" s="123" t="s">
        <v>100</v>
      </c>
      <c r="B33" s="124">
        <v>2024</v>
      </c>
      <c r="C33" s="104">
        <v>18.513999999999999</v>
      </c>
      <c r="D33" s="104">
        <v>26.227</v>
      </c>
      <c r="E33" s="104">
        <v>21.402999999999999</v>
      </c>
      <c r="F33" s="104">
        <v>17.648</v>
      </c>
      <c r="G33" s="104">
        <v>0</v>
      </c>
      <c r="H33" s="104">
        <v>0</v>
      </c>
      <c r="I33" s="104">
        <v>29.896999999999998</v>
      </c>
      <c r="J33" s="105">
        <v>33.515999999999998</v>
      </c>
      <c r="K33" s="104"/>
      <c r="L33" s="104"/>
      <c r="M33" s="106"/>
      <c r="N33" s="106"/>
      <c r="O33" s="106"/>
      <c r="P33" s="106"/>
      <c r="Q33" s="106"/>
      <c r="R33" s="106"/>
      <c r="S33" s="106"/>
    </row>
    <row r="34" spans="1:19" x14ac:dyDescent="0.25">
      <c r="A34" s="99" t="s">
        <v>149</v>
      </c>
      <c r="B34" s="100">
        <v>2023</v>
      </c>
      <c r="C34" s="101">
        <v>17.43</v>
      </c>
      <c r="D34" s="101">
        <v>24.78</v>
      </c>
      <c r="E34" s="101">
        <v>20.059999999999999</v>
      </c>
      <c r="F34" s="101">
        <v>16.7</v>
      </c>
      <c r="G34" s="101">
        <v>0</v>
      </c>
      <c r="H34" s="101">
        <v>23.37</v>
      </c>
      <c r="I34" s="101"/>
      <c r="J34" s="102"/>
      <c r="K34" s="101"/>
      <c r="L34" s="101"/>
      <c r="M34" s="103"/>
      <c r="N34" s="103"/>
      <c r="O34" s="103"/>
      <c r="P34" s="103"/>
      <c r="Q34" s="103"/>
      <c r="R34" s="103"/>
      <c r="S34" s="103"/>
    </row>
    <row r="35" spans="1:19" x14ac:dyDescent="0.25">
      <c r="A35" s="123" t="s">
        <v>149</v>
      </c>
      <c r="B35" s="124">
        <v>2024</v>
      </c>
      <c r="C35" s="104">
        <f>519.2/30</f>
        <v>17.306666666666668</v>
      </c>
      <c r="D35" s="104">
        <f>1887.1/77</f>
        <v>24.507792207792207</v>
      </c>
      <c r="E35" s="104">
        <f>254.5/19.1</f>
        <v>13.32460732984293</v>
      </c>
      <c r="F35" s="104">
        <f>824.6/50</f>
        <v>16.492000000000001</v>
      </c>
      <c r="G35" s="104">
        <f>209.6/7.5</f>
        <v>27.946666666666665</v>
      </c>
      <c r="H35" s="104">
        <f>205.4/13.4</f>
        <v>15.328358208955224</v>
      </c>
      <c r="I35" s="104"/>
      <c r="J35" s="105"/>
      <c r="K35" s="104"/>
      <c r="L35" s="104"/>
      <c r="M35" s="106"/>
      <c r="N35" s="106"/>
      <c r="O35" s="106"/>
      <c r="P35" s="106"/>
      <c r="Q35" s="106"/>
      <c r="R35" s="106"/>
      <c r="S35" s="106"/>
    </row>
    <row r="36" spans="1:19" x14ac:dyDescent="0.25">
      <c r="A36" s="99" t="s">
        <v>101</v>
      </c>
      <c r="B36" s="100">
        <v>2023</v>
      </c>
      <c r="C36" s="207">
        <v>17.09</v>
      </c>
      <c r="D36" s="101">
        <v>24.216531051886498</v>
      </c>
      <c r="E36" s="101">
        <v>13.178010471204187</v>
      </c>
      <c r="F36" s="101">
        <v>16.297999999999998</v>
      </c>
      <c r="G36" s="101">
        <v>27.6</v>
      </c>
      <c r="H36" s="101">
        <v>14.970149253731343</v>
      </c>
      <c r="I36" s="101"/>
      <c r="J36" s="102"/>
      <c r="K36" s="101"/>
      <c r="L36" s="101"/>
      <c r="M36" s="103"/>
      <c r="N36" s="103"/>
      <c r="O36" s="103"/>
      <c r="P36" s="103"/>
      <c r="Q36" s="103"/>
      <c r="R36" s="103"/>
      <c r="S36" s="103"/>
    </row>
    <row r="37" spans="1:19" x14ac:dyDescent="0.25">
      <c r="A37" s="123" t="s">
        <v>101</v>
      </c>
      <c r="B37" s="124">
        <v>2024</v>
      </c>
      <c r="C37" s="208">
        <f>535.8/30</f>
        <v>17.86</v>
      </c>
      <c r="D37" s="104">
        <f>C37/C36*D36</f>
        <v>25.307621099279864</v>
      </c>
      <c r="E37" s="104">
        <f>263/19.1</f>
        <v>13.769633507853403</v>
      </c>
      <c r="F37" s="104">
        <f>851.6/50</f>
        <v>17.032</v>
      </c>
      <c r="G37" s="104"/>
      <c r="H37" s="104">
        <f>206.6/13.4</f>
        <v>15.417910447761193</v>
      </c>
      <c r="I37" s="104"/>
      <c r="J37" s="105"/>
      <c r="K37" s="104"/>
      <c r="L37" s="104"/>
      <c r="M37" s="106"/>
      <c r="N37" s="106"/>
      <c r="O37" s="106"/>
      <c r="P37" s="106"/>
      <c r="Q37" s="106"/>
      <c r="R37" s="106"/>
      <c r="S37" s="106"/>
    </row>
    <row r="38" spans="1:19" x14ac:dyDescent="0.25">
      <c r="A38" s="99" t="s">
        <v>102</v>
      </c>
      <c r="B38" s="100">
        <v>2023</v>
      </c>
      <c r="C38" s="207">
        <v>17.45</v>
      </c>
      <c r="D38" s="101">
        <v>24.56753246753247</v>
      </c>
      <c r="E38" s="101">
        <v>19.840413265394016</v>
      </c>
      <c r="F38" s="101">
        <v>16.532</v>
      </c>
      <c r="G38" s="101">
        <v>28.181333333333335</v>
      </c>
      <c r="H38" s="101">
        <v>20.544776119402986</v>
      </c>
      <c r="I38" s="101"/>
      <c r="J38" s="102"/>
      <c r="K38" s="101"/>
      <c r="L38" s="101"/>
      <c r="M38" s="103"/>
      <c r="N38" s="103"/>
      <c r="O38" s="103"/>
      <c r="P38" s="103"/>
      <c r="Q38" s="103"/>
      <c r="R38" s="103"/>
      <c r="S38" s="103"/>
    </row>
    <row r="39" spans="1:19" x14ac:dyDescent="0.25">
      <c r="A39" s="123" t="s">
        <v>102</v>
      </c>
      <c r="B39" s="124">
        <v>2024</v>
      </c>
      <c r="C39" s="208">
        <f>549.7/30</f>
        <v>18.323333333333334</v>
      </c>
      <c r="D39" s="104">
        <f>1986.3/77</f>
        <v>25.796103896103894</v>
      </c>
      <c r="E39" s="104">
        <f>347.2/19.1</f>
        <v>18.178010471204185</v>
      </c>
      <c r="F39" s="104">
        <v>17.36</v>
      </c>
      <c r="G39" s="104"/>
      <c r="H39" s="104">
        <f>280.8/13.4</f>
        <v>20.955223880597014</v>
      </c>
      <c r="I39" s="104"/>
      <c r="J39" s="105"/>
      <c r="K39" s="104"/>
      <c r="L39" s="104"/>
      <c r="M39" s="106"/>
      <c r="N39" s="106"/>
      <c r="O39" s="106"/>
      <c r="P39" s="106"/>
      <c r="Q39" s="106"/>
      <c r="R39" s="106"/>
      <c r="S39" s="106"/>
    </row>
    <row r="40" spans="1:19" x14ac:dyDescent="0.25">
      <c r="A40" s="99" t="s">
        <v>103</v>
      </c>
      <c r="B40" s="100">
        <v>2023</v>
      </c>
      <c r="C40" s="207">
        <v>16.678999999999998</v>
      </c>
      <c r="D40" s="101">
        <v>23.626999999999999</v>
      </c>
      <c r="E40" s="101">
        <v>19.280999999999999</v>
      </c>
      <c r="F40" s="101">
        <v>15.898</v>
      </c>
      <c r="G40" s="101">
        <v>0</v>
      </c>
      <c r="H40" s="101">
        <v>22.236999999999998</v>
      </c>
      <c r="I40" s="101">
        <v>26.931999999999999</v>
      </c>
      <c r="J40" s="102">
        <v>30.193000000000001</v>
      </c>
      <c r="K40" s="101"/>
      <c r="L40" s="101"/>
      <c r="M40" s="103"/>
      <c r="N40" s="103"/>
      <c r="O40" s="103"/>
      <c r="P40" s="103"/>
      <c r="Q40" s="103"/>
      <c r="R40" s="103"/>
      <c r="S40" s="103"/>
    </row>
    <row r="41" spans="1:19" x14ac:dyDescent="0.25">
      <c r="A41" s="123" t="s">
        <v>103</v>
      </c>
      <c r="B41" s="124">
        <v>2024</v>
      </c>
      <c r="C41" s="208">
        <v>17.579000000000001</v>
      </c>
      <c r="D41" s="104">
        <v>24.902000000000001</v>
      </c>
      <c r="E41" s="104">
        <v>20.321999999999999</v>
      </c>
      <c r="F41" s="104">
        <v>16.757000000000001</v>
      </c>
      <c r="G41" s="104">
        <v>0</v>
      </c>
      <c r="H41" s="104">
        <v>23.437999999999999</v>
      </c>
      <c r="I41" s="104">
        <v>28.387</v>
      </c>
      <c r="J41" s="105">
        <v>31.823</v>
      </c>
      <c r="K41" s="104"/>
      <c r="L41" s="104"/>
      <c r="M41" s="106"/>
      <c r="N41" s="106"/>
      <c r="O41" s="106"/>
      <c r="P41" s="106"/>
      <c r="Q41" s="106"/>
      <c r="R41" s="106"/>
      <c r="S41" s="106"/>
    </row>
    <row r="42" spans="1:19" x14ac:dyDescent="0.25">
      <c r="A42" s="99" t="s">
        <v>104</v>
      </c>
      <c r="B42" s="100">
        <v>2023</v>
      </c>
      <c r="C42" s="207">
        <v>63.982999999999997</v>
      </c>
      <c r="D42" s="108"/>
      <c r="E42" s="108"/>
      <c r="F42" s="108"/>
      <c r="G42" s="108"/>
      <c r="H42" s="108"/>
      <c r="I42" s="108"/>
      <c r="J42" s="102"/>
      <c r="K42" s="109">
        <v>54.592568799683171</v>
      </c>
      <c r="L42" s="109">
        <v>54.277453658732945</v>
      </c>
      <c r="M42" s="126">
        <v>1112676.9217453124</v>
      </c>
      <c r="N42" s="126">
        <v>155</v>
      </c>
      <c r="O42" s="126">
        <v>282</v>
      </c>
      <c r="P42" s="126">
        <v>267</v>
      </c>
      <c r="Q42" s="126">
        <v>462</v>
      </c>
      <c r="R42" s="126">
        <v>447</v>
      </c>
      <c r="S42" s="126"/>
    </row>
    <row r="43" spans="1:19" x14ac:dyDescent="0.25">
      <c r="A43" s="123" t="s">
        <v>104</v>
      </c>
      <c r="B43" s="124">
        <v>2024</v>
      </c>
      <c r="C43" s="146">
        <f>C42*1.065</f>
        <v>68.141894999999991</v>
      </c>
      <c r="D43" s="127"/>
      <c r="E43" s="127"/>
      <c r="F43" s="127"/>
      <c r="G43" s="127"/>
      <c r="H43" s="127"/>
      <c r="I43" s="127"/>
      <c r="J43" s="105"/>
      <c r="K43" s="110">
        <f>($M43/$N43+O43*$C43)/Q43</f>
        <v>57.13111509838447</v>
      </c>
      <c r="L43" s="110">
        <f>($M43/$N43+P43*$C43)/R43</f>
        <v>56.761625839940997</v>
      </c>
      <c r="M43" s="128">
        <f>675300*1.15*1.125*1.125*1.07*1.058</f>
        <v>1112676.9217453124</v>
      </c>
      <c r="N43" s="225">
        <v>155</v>
      </c>
      <c r="O43" s="225">
        <v>282</v>
      </c>
      <c r="P43" s="225">
        <v>267</v>
      </c>
      <c r="Q43" s="225">
        <v>462</v>
      </c>
      <c r="R43" s="225">
        <v>447</v>
      </c>
      <c r="S43" s="106"/>
    </row>
    <row r="44" spans="1:19" x14ac:dyDescent="0.25">
      <c r="A44" s="99" t="s">
        <v>105</v>
      </c>
      <c r="B44" s="100">
        <v>2023</v>
      </c>
      <c r="C44" s="207">
        <v>55.015999999999998</v>
      </c>
      <c r="D44" s="108"/>
      <c r="E44" s="108"/>
      <c r="F44" s="108"/>
      <c r="G44" s="108"/>
      <c r="H44" s="108"/>
      <c r="I44" s="108"/>
      <c r="J44" s="102"/>
      <c r="K44" s="101"/>
      <c r="L44" s="101"/>
      <c r="M44" s="103"/>
      <c r="N44" s="103"/>
      <c r="O44" s="103"/>
      <c r="P44" s="103"/>
      <c r="Q44" s="103"/>
      <c r="R44" s="103"/>
      <c r="S44" s="103"/>
    </row>
    <row r="45" spans="1:19" x14ac:dyDescent="0.25">
      <c r="A45" s="123" t="s">
        <v>105</v>
      </c>
      <c r="B45" s="124">
        <v>2024</v>
      </c>
      <c r="C45" s="146">
        <f>C44*1.065</f>
        <v>58.592039999999997</v>
      </c>
      <c r="D45" s="127"/>
      <c r="E45" s="127"/>
      <c r="F45" s="127"/>
      <c r="G45" s="127"/>
      <c r="H45" s="127"/>
      <c r="I45" s="127"/>
      <c r="J45" s="105"/>
      <c r="K45" s="104"/>
      <c r="L45" s="104"/>
      <c r="M45" s="106"/>
      <c r="N45" s="106"/>
      <c r="O45" s="106"/>
      <c r="P45" s="106"/>
      <c r="Q45" s="106"/>
      <c r="R45" s="106"/>
      <c r="S45" s="106"/>
    </row>
    <row r="46" spans="1:19" x14ac:dyDescent="0.25">
      <c r="A46" s="99" t="s">
        <v>106</v>
      </c>
      <c r="B46" s="100">
        <v>2023</v>
      </c>
      <c r="C46" s="207">
        <v>50.256999999999998</v>
      </c>
      <c r="D46" s="108"/>
      <c r="E46" s="108"/>
      <c r="F46" s="108"/>
      <c r="G46" s="108"/>
      <c r="H46" s="108"/>
      <c r="I46" s="108"/>
      <c r="J46" s="102"/>
      <c r="K46" s="109">
        <v>46.214361007475389</v>
      </c>
      <c r="L46" s="109">
        <v>46.078701980880595</v>
      </c>
      <c r="M46" s="126">
        <v>1112676.9217453124</v>
      </c>
      <c r="N46" s="126">
        <v>155</v>
      </c>
      <c r="O46" s="126">
        <v>282</v>
      </c>
      <c r="P46" s="126">
        <v>267</v>
      </c>
      <c r="Q46" s="126">
        <v>462</v>
      </c>
      <c r="R46" s="126">
        <v>447</v>
      </c>
      <c r="S46" s="126"/>
    </row>
    <row r="47" spans="1:19" x14ac:dyDescent="0.25">
      <c r="A47" s="123" t="s">
        <v>106</v>
      </c>
      <c r="B47" s="124">
        <v>2024</v>
      </c>
      <c r="C47" s="146">
        <f>C46*1.065</f>
        <v>53.523704999999993</v>
      </c>
      <c r="D47" s="127"/>
      <c r="E47" s="127"/>
      <c r="F47" s="127"/>
      <c r="G47" s="127"/>
      <c r="H47" s="127"/>
      <c r="I47" s="127"/>
      <c r="J47" s="105"/>
      <c r="K47" s="110">
        <f>($M47/$N47+O47*$C47)/Q47</f>
        <v>48.208323799683178</v>
      </c>
      <c r="L47" s="110">
        <f>($M47/$N47+P47*$C47)/R47</f>
        <v>48.029955303028245</v>
      </c>
      <c r="M47" s="225">
        <f>M43</f>
        <v>1112676.9217453124</v>
      </c>
      <c r="N47" s="225">
        <v>155</v>
      </c>
      <c r="O47" s="225">
        <v>282</v>
      </c>
      <c r="P47" s="225">
        <v>267</v>
      </c>
      <c r="Q47" s="225">
        <v>462</v>
      </c>
      <c r="R47" s="225">
        <v>447</v>
      </c>
      <c r="S47" s="106"/>
    </row>
    <row r="48" spans="1:19" x14ac:dyDescent="0.25">
      <c r="A48" s="111"/>
      <c r="B48" s="112"/>
      <c r="C48" s="113"/>
      <c r="D48" s="113"/>
      <c r="E48" s="113"/>
      <c r="F48" s="113"/>
      <c r="G48" s="113"/>
      <c r="H48" s="113"/>
      <c r="I48" s="113"/>
      <c r="J48" s="129"/>
      <c r="K48" s="114"/>
      <c r="L48" s="114"/>
      <c r="M48" s="130"/>
      <c r="N48" s="130"/>
      <c r="O48" s="130"/>
      <c r="P48" s="130"/>
      <c r="Q48" s="130"/>
      <c r="R48" s="130"/>
      <c r="S48" s="130"/>
    </row>
    <row r="49" spans="1:19" x14ac:dyDescent="0.25">
      <c r="A49" s="99" t="s">
        <v>124</v>
      </c>
      <c r="B49" s="100">
        <v>2023</v>
      </c>
      <c r="C49" s="101"/>
      <c r="D49" s="101"/>
      <c r="E49" s="101"/>
      <c r="F49" s="101"/>
      <c r="G49" s="101"/>
      <c r="H49" s="101"/>
      <c r="I49" s="108"/>
      <c r="J49" s="102"/>
      <c r="K49" s="101"/>
      <c r="L49" s="101"/>
      <c r="M49" s="103"/>
      <c r="N49" s="103"/>
      <c r="O49" s="103"/>
      <c r="P49" s="103"/>
      <c r="Q49" s="103"/>
      <c r="R49" s="103"/>
      <c r="S49" s="103"/>
    </row>
    <row r="50" spans="1:19" x14ac:dyDescent="0.25">
      <c r="A50" s="123" t="s">
        <v>124</v>
      </c>
      <c r="B50" s="124">
        <v>2024</v>
      </c>
      <c r="C50" s="104"/>
      <c r="D50" s="104"/>
      <c r="E50" s="104"/>
      <c r="F50" s="104"/>
      <c r="G50" s="104"/>
      <c r="H50" s="104"/>
      <c r="I50" s="127"/>
      <c r="J50" s="105"/>
      <c r="K50" s="104"/>
      <c r="L50" s="104"/>
      <c r="M50" s="106"/>
      <c r="N50" s="106"/>
      <c r="O50" s="106"/>
      <c r="P50" s="106"/>
      <c r="Q50" s="106"/>
      <c r="R50" s="106"/>
      <c r="S50" s="106"/>
    </row>
    <row r="51" spans="1:19" x14ac:dyDescent="0.25">
      <c r="A51" s="99" t="s">
        <v>125</v>
      </c>
      <c r="B51" s="100">
        <v>2023</v>
      </c>
      <c r="C51" s="101"/>
      <c r="D51" s="101"/>
      <c r="E51" s="101"/>
      <c r="F51" s="101"/>
      <c r="G51" s="101"/>
      <c r="H51" s="101"/>
      <c r="I51" s="108"/>
      <c r="J51" s="102"/>
      <c r="K51" s="101"/>
      <c r="L51" s="101"/>
      <c r="M51" s="103"/>
      <c r="N51" s="103"/>
      <c r="O51" s="103"/>
      <c r="P51" s="103"/>
      <c r="Q51" s="103"/>
      <c r="R51" s="103"/>
      <c r="S51" s="103"/>
    </row>
    <row r="52" spans="1:19" x14ac:dyDescent="0.25">
      <c r="A52" s="123" t="s">
        <v>125</v>
      </c>
      <c r="B52" s="124">
        <v>2024</v>
      </c>
      <c r="C52" s="104"/>
      <c r="D52" s="104"/>
      <c r="E52" s="104"/>
      <c r="F52" s="104"/>
      <c r="G52" s="104"/>
      <c r="H52" s="104"/>
      <c r="I52" s="127"/>
      <c r="J52" s="105"/>
      <c r="K52" s="104"/>
      <c r="L52" s="104"/>
      <c r="M52" s="106"/>
      <c r="N52" s="106"/>
      <c r="O52" s="106"/>
      <c r="P52" s="106"/>
      <c r="Q52" s="106"/>
      <c r="R52" s="106"/>
      <c r="S52" s="106"/>
    </row>
    <row r="53" spans="1:19" x14ac:dyDescent="0.25">
      <c r="A53" s="99" t="s">
        <v>126</v>
      </c>
      <c r="B53" s="100">
        <v>2023</v>
      </c>
      <c r="C53" s="101"/>
      <c r="D53" s="101"/>
      <c r="E53" s="101"/>
      <c r="F53" s="101"/>
      <c r="G53" s="101"/>
      <c r="H53" s="101"/>
      <c r="I53" s="108"/>
      <c r="J53" s="102"/>
      <c r="K53" s="101"/>
      <c r="L53" s="101"/>
      <c r="M53" s="103"/>
      <c r="N53" s="103"/>
      <c r="O53" s="103"/>
      <c r="P53" s="103"/>
      <c r="Q53" s="103"/>
      <c r="R53" s="103"/>
      <c r="S53" s="103">
        <v>15.337</v>
      </c>
    </row>
    <row r="54" spans="1:19" x14ac:dyDescent="0.25">
      <c r="A54" s="123" t="s">
        <v>126</v>
      </c>
      <c r="B54" s="124">
        <v>2024</v>
      </c>
      <c r="C54" s="104"/>
      <c r="D54" s="104"/>
      <c r="E54" s="104"/>
      <c r="F54" s="104"/>
      <c r="G54" s="104"/>
      <c r="H54" s="104"/>
      <c r="I54" s="127"/>
      <c r="J54" s="105"/>
      <c r="K54" s="104"/>
      <c r="L54" s="104"/>
      <c r="M54" s="106"/>
      <c r="N54" s="106"/>
      <c r="O54" s="106"/>
      <c r="P54" s="106"/>
      <c r="Q54" s="106"/>
      <c r="R54" s="106"/>
      <c r="S54" s="104">
        <f>484/30</f>
        <v>16.133333333333333</v>
      </c>
    </row>
    <row r="55" spans="1:19" x14ac:dyDescent="0.25">
      <c r="A55" s="99" t="s">
        <v>127</v>
      </c>
      <c r="B55" s="100">
        <v>2023</v>
      </c>
      <c r="C55" s="101"/>
      <c r="D55" s="101"/>
      <c r="E55" s="101"/>
      <c r="F55" s="101"/>
      <c r="G55" s="101"/>
      <c r="H55" s="101"/>
      <c r="I55" s="108"/>
      <c r="J55" s="102"/>
      <c r="K55" s="101"/>
      <c r="L55" s="101"/>
      <c r="M55" s="103"/>
      <c r="N55" s="103"/>
      <c r="O55" s="103"/>
      <c r="P55" s="103"/>
      <c r="Q55" s="103"/>
      <c r="R55" s="103"/>
      <c r="S55" s="103">
        <v>16.34</v>
      </c>
    </row>
    <row r="56" spans="1:19" x14ac:dyDescent="0.25">
      <c r="A56" s="123" t="s">
        <v>127</v>
      </c>
      <c r="B56" s="124">
        <v>2024</v>
      </c>
      <c r="C56" s="104"/>
      <c r="D56" s="104"/>
      <c r="E56" s="104"/>
      <c r="F56" s="104"/>
      <c r="G56" s="104"/>
      <c r="H56" s="104"/>
      <c r="I56" s="127"/>
      <c r="J56" s="105"/>
      <c r="K56" s="104"/>
      <c r="L56" s="104"/>
      <c r="M56" s="106"/>
      <c r="N56" s="106"/>
      <c r="O56" s="106"/>
      <c r="P56" s="106"/>
      <c r="Q56" s="106"/>
      <c r="R56" s="106"/>
      <c r="S56" s="104">
        <f>515.7/30</f>
        <v>17.190000000000001</v>
      </c>
    </row>
    <row r="57" spans="1:19" x14ac:dyDescent="0.25">
      <c r="A57" s="115"/>
      <c r="B57" s="116"/>
      <c r="C57" s="117"/>
      <c r="D57" s="117"/>
      <c r="E57" s="117"/>
      <c r="F57" s="117"/>
      <c r="G57" s="117"/>
      <c r="H57" s="117"/>
      <c r="I57" s="117"/>
      <c r="J57" s="131"/>
      <c r="K57" s="118"/>
      <c r="L57" s="118"/>
      <c r="M57" s="132"/>
      <c r="N57" s="132"/>
      <c r="O57" s="132"/>
      <c r="P57" s="132"/>
      <c r="Q57" s="132"/>
      <c r="R57" s="132"/>
      <c r="S57" s="132"/>
    </row>
    <row r="58" spans="1:19" ht="45" x14ac:dyDescent="0.25">
      <c r="A58" s="107" t="s">
        <v>132</v>
      </c>
      <c r="B58" s="100">
        <v>2023</v>
      </c>
      <c r="C58" s="101">
        <v>22.086666666666666</v>
      </c>
      <c r="D58" s="101">
        <v>24.062337662337661</v>
      </c>
      <c r="E58" s="101">
        <v>19.633507853403138</v>
      </c>
      <c r="F58" s="101">
        <v>21.05</v>
      </c>
      <c r="G58" s="101">
        <v>27.466666666666665</v>
      </c>
      <c r="H58" s="101">
        <v>22.641791044776117</v>
      </c>
      <c r="I58" s="108"/>
      <c r="J58" s="102"/>
      <c r="K58" s="101"/>
      <c r="L58" s="101"/>
      <c r="M58" s="103"/>
      <c r="N58" s="103"/>
      <c r="O58" s="103"/>
      <c r="P58" s="103"/>
      <c r="Q58" s="103"/>
      <c r="R58" s="103"/>
      <c r="S58" s="103"/>
    </row>
    <row r="59" spans="1:19" ht="45" x14ac:dyDescent="0.25">
      <c r="A59" s="125" t="s">
        <v>132</v>
      </c>
      <c r="B59" s="124">
        <v>2024</v>
      </c>
      <c r="C59" s="104">
        <f>698.4/30</f>
        <v>23.279999999999998</v>
      </c>
      <c r="D59" s="104">
        <f>1952.9/77</f>
        <v>25.362337662337662</v>
      </c>
      <c r="E59" s="104">
        <f>395.3/19.1</f>
        <v>20.69633507853403</v>
      </c>
      <c r="F59" s="104">
        <f>1109.3/50</f>
        <v>22.186</v>
      </c>
      <c r="G59" s="104">
        <f>217.1/7.5</f>
        <v>28.946666666666665</v>
      </c>
      <c r="H59" s="104">
        <f>319.8/13.4</f>
        <v>23.865671641791046</v>
      </c>
      <c r="I59" s="127"/>
      <c r="J59" s="105"/>
      <c r="K59" s="104"/>
      <c r="L59" s="104"/>
      <c r="M59" s="106"/>
      <c r="N59" s="106"/>
      <c r="O59" s="106"/>
      <c r="P59" s="106"/>
      <c r="Q59" s="106"/>
      <c r="R59" s="106"/>
      <c r="S59" s="104"/>
    </row>
    <row r="60" spans="1:19" x14ac:dyDescent="0.25">
      <c r="A60" s="115"/>
      <c r="B60" s="116"/>
      <c r="C60" s="117"/>
      <c r="D60" s="117"/>
      <c r="E60" s="117"/>
      <c r="F60" s="117"/>
      <c r="G60" s="117"/>
      <c r="H60" s="117"/>
      <c r="I60" s="117"/>
      <c r="J60" s="131"/>
      <c r="K60" s="118"/>
      <c r="L60" s="118"/>
      <c r="M60" s="132"/>
      <c r="N60" s="132"/>
      <c r="O60" s="132"/>
      <c r="P60" s="132"/>
      <c r="Q60" s="132"/>
      <c r="R60" s="132"/>
      <c r="S60" s="132"/>
    </row>
    <row r="61" spans="1:19" x14ac:dyDescent="0.25">
      <c r="A61" s="99" t="s">
        <v>150</v>
      </c>
      <c r="B61" s="100">
        <v>2023</v>
      </c>
      <c r="C61" s="101">
        <v>16.71</v>
      </c>
      <c r="D61" s="101">
        <v>23.77</v>
      </c>
      <c r="E61" s="101">
        <v>19.25</v>
      </c>
      <c r="F61" s="101">
        <v>16.010000000000002</v>
      </c>
      <c r="G61" s="101">
        <v>0</v>
      </c>
      <c r="H61" s="101">
        <v>21.18</v>
      </c>
      <c r="I61" s="101"/>
      <c r="J61" s="102"/>
      <c r="K61" s="101"/>
      <c r="L61" s="101"/>
      <c r="M61" s="103"/>
      <c r="N61" s="103"/>
      <c r="O61" s="103"/>
      <c r="P61" s="103"/>
      <c r="Q61" s="103"/>
      <c r="R61" s="103"/>
      <c r="S61" s="103"/>
    </row>
    <row r="62" spans="1:19" x14ac:dyDescent="0.25">
      <c r="A62" s="123" t="s">
        <v>150</v>
      </c>
      <c r="B62" s="124">
        <v>2024</v>
      </c>
      <c r="C62" s="104"/>
      <c r="D62" s="104"/>
      <c r="E62" s="104"/>
      <c r="F62" s="104"/>
      <c r="G62" s="104"/>
      <c r="H62" s="104"/>
      <c r="I62" s="104"/>
      <c r="J62" s="105"/>
      <c r="K62" s="104"/>
      <c r="L62" s="104"/>
      <c r="M62" s="106"/>
      <c r="N62" s="106"/>
      <c r="O62" s="106"/>
      <c r="P62" s="106"/>
      <c r="Q62" s="106"/>
      <c r="R62" s="106"/>
      <c r="S62" s="106"/>
    </row>
    <row r="63" spans="1:19" x14ac:dyDescent="0.25">
      <c r="A63" s="99" t="s">
        <v>174</v>
      </c>
      <c r="B63" s="100">
        <v>2023</v>
      </c>
      <c r="C63" s="101">
        <v>17.125999999999998</v>
      </c>
      <c r="D63" s="101">
        <v>24.714025974025976</v>
      </c>
      <c r="E63" s="101">
        <v>14.412041884816752</v>
      </c>
      <c r="F63" s="101">
        <v>16.323</v>
      </c>
      <c r="G63" s="101">
        <v>30.776</v>
      </c>
      <c r="H63" s="101">
        <v>21.623595505617974</v>
      </c>
      <c r="I63" s="101"/>
      <c r="J63" s="102"/>
      <c r="K63" s="101"/>
      <c r="L63" s="101"/>
      <c r="M63" s="103"/>
      <c r="N63" s="103"/>
      <c r="O63" s="103"/>
      <c r="P63" s="103"/>
      <c r="Q63" s="103"/>
      <c r="R63" s="103"/>
      <c r="S63" s="103"/>
    </row>
    <row r="64" spans="1:19" x14ac:dyDescent="0.25">
      <c r="A64" s="123" t="s">
        <v>174</v>
      </c>
      <c r="B64" s="124">
        <v>2023</v>
      </c>
      <c r="C64" s="104">
        <v>18.07</v>
      </c>
      <c r="D64" s="104">
        <v>26.07</v>
      </c>
      <c r="E64" s="104"/>
      <c r="F64" s="104">
        <v>17.22</v>
      </c>
      <c r="G64" s="104"/>
      <c r="H64" s="104"/>
      <c r="I64" s="104"/>
      <c r="J64" s="105"/>
      <c r="K64" s="104"/>
      <c r="L64" s="104"/>
      <c r="M64" s="106"/>
      <c r="N64" s="106"/>
      <c r="O64" s="106"/>
      <c r="P64" s="106"/>
      <c r="Q64" s="106"/>
      <c r="R64" s="106"/>
      <c r="S64" s="106"/>
    </row>
  </sheetData>
  <sheetProtection algorithmName="SHA-512" hashValue="IgUgXTv7h4qJN4wVrkToJq/lXGXQIdaM2PqIuNz3h5O5iel2YWhkZsjQNdaUR97BLXiB04H6jQkbk8KgyYaB5g==" saltValue="Mr3RqVzxYQZWtzN31mfrm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SFP Comparitive Tariffs</vt:lpstr>
      <vt:lpstr>RCF</vt:lpstr>
      <vt:lpstr>'SFP Comparitive Tariffs'!Print_Area</vt:lpstr>
      <vt:lpstr>'SFP Comparitive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Kotze</cp:lastModifiedBy>
  <cp:lastPrinted>2022-02-02T07:46:00Z</cp:lastPrinted>
  <dcterms:created xsi:type="dcterms:W3CDTF">2007-01-02T12:57:15Z</dcterms:created>
  <dcterms:modified xsi:type="dcterms:W3CDTF">2024-03-05T21:33:25Z</dcterms:modified>
</cp:coreProperties>
</file>