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Peet\Documents\Tariffs\Tariffs 2024\HealthMan\"/>
    </mc:Choice>
  </mc:AlternateContent>
  <xr:revisionPtr revIDLastSave="0" documentId="13_ncr:1_{BC10836B-B62D-4321-A98F-41A7A29006D2}" xr6:coauthVersionLast="47" xr6:coauthVersionMax="47" xr10:uidLastSave="{00000000-0000-0000-0000-000000000000}"/>
  <bookViews>
    <workbookView xWindow="-20310" yWindow="270" windowWidth="18960" windowHeight="10425" xr2:uid="{00000000-000D-0000-FFFF-FFFF00000000}"/>
  </bookViews>
  <sheets>
    <sheet name="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'Comparative Tariffs'!$A$1:$BB$71</definedName>
    <definedName name="_xlnm.Print_Titles" localSheetId="0">'Comparative Tariffs'!$A:$E,'Comparative Tariffs'!$1:$7</definedName>
    <definedName name="VAT">[1]Parameters!$C$20</definedName>
  </definedNames>
  <calcPr calcId="181029"/>
</workbook>
</file>

<file path=xl/calcChain.xml><?xml version="1.0" encoding="utf-8"?>
<calcChain xmlns="http://schemas.openxmlformats.org/spreadsheetml/2006/main">
  <c r="H59" i="2" l="1"/>
  <c r="G59" i="2"/>
  <c r="F59" i="2"/>
  <c r="E59" i="2"/>
  <c r="D59" i="2"/>
  <c r="C59" i="2"/>
  <c r="S56" i="2"/>
  <c r="S54" i="2"/>
  <c r="C47" i="2"/>
  <c r="C45" i="2"/>
  <c r="M43" i="2"/>
  <c r="M47" i="2" s="1"/>
  <c r="C43" i="2"/>
  <c r="H39" i="2"/>
  <c r="E39" i="2"/>
  <c r="D39" i="2"/>
  <c r="C39" i="2"/>
  <c r="H37" i="2"/>
  <c r="F37" i="2"/>
  <c r="E37" i="2"/>
  <c r="C37" i="2"/>
  <c r="D37" i="2" s="1"/>
  <c r="H35" i="2"/>
  <c r="G35" i="2"/>
  <c r="F35" i="2"/>
  <c r="E35" i="2"/>
  <c r="D35" i="2"/>
  <c r="C35" i="2"/>
  <c r="H29" i="2"/>
  <c r="G29" i="2"/>
  <c r="F29" i="2"/>
  <c r="E29" i="2"/>
  <c r="D29" i="2"/>
  <c r="C29" i="2"/>
  <c r="H28" i="2"/>
  <c r="H27" i="2" s="1"/>
  <c r="G28" i="2"/>
  <c r="G27" i="2" s="1"/>
  <c r="F28" i="2"/>
  <c r="F27" i="2" s="1"/>
  <c r="E28" i="2"/>
  <c r="E27" i="2" s="1"/>
  <c r="D28" i="2"/>
  <c r="D27" i="2" s="1"/>
  <c r="C28" i="2"/>
  <c r="C27" i="2" s="1"/>
  <c r="H26" i="2"/>
  <c r="G26" i="2"/>
  <c r="F26" i="2"/>
  <c r="E26" i="2"/>
  <c r="D26" i="2"/>
  <c r="C26" i="2"/>
  <c r="S25" i="2"/>
  <c r="R25" i="2"/>
  <c r="Q25" i="2"/>
  <c r="P25" i="2"/>
  <c r="O25" i="2"/>
  <c r="N25" i="2"/>
  <c r="M25" i="2"/>
  <c r="L25" i="2"/>
  <c r="K25" i="2"/>
  <c r="H25" i="2"/>
  <c r="G25" i="2"/>
  <c r="F25" i="2"/>
  <c r="E25" i="2"/>
  <c r="D25" i="2"/>
  <c r="C25" i="2"/>
  <c r="H23" i="2"/>
  <c r="H24" i="2" s="1"/>
  <c r="G23" i="2"/>
  <c r="G24" i="2" s="1"/>
  <c r="F23" i="2"/>
  <c r="F24" i="2" s="1"/>
  <c r="E23" i="2"/>
  <c r="E24" i="2" s="1"/>
  <c r="D23" i="2"/>
  <c r="D24" i="2" s="1"/>
  <c r="C23" i="2"/>
  <c r="C24" i="2" s="1"/>
  <c r="H22" i="2"/>
  <c r="G22" i="2"/>
  <c r="F22" i="2"/>
  <c r="E22" i="2"/>
  <c r="D22" i="2"/>
  <c r="C22" i="2"/>
  <c r="G7" i="2"/>
  <c r="F7" i="2"/>
  <c r="D7" i="2"/>
  <c r="C7" i="2"/>
  <c r="L43" i="2" l="1"/>
  <c r="K43" i="2"/>
  <c r="K47" i="2"/>
  <c r="L47" i="2"/>
  <c r="AX69" i="1"/>
  <c r="AW69" i="1" s="1"/>
  <c r="AX68" i="1"/>
  <c r="AW68" i="1" s="1"/>
  <c r="AX67" i="1"/>
  <c r="AW67" i="1" s="1"/>
  <c r="AX66" i="1"/>
  <c r="AW66" i="1" s="1"/>
  <c r="AX65" i="1"/>
  <c r="AW65" i="1" s="1"/>
  <c r="AX64" i="1"/>
  <c r="AW64" i="1" s="1"/>
  <c r="AX48" i="1"/>
  <c r="AW48" i="1" s="1"/>
  <c r="AX49" i="1"/>
  <c r="AW49" i="1" s="1"/>
  <c r="AX50" i="1"/>
  <c r="AW50" i="1" s="1"/>
  <c r="AX51" i="1"/>
  <c r="AW51" i="1" s="1"/>
  <c r="AX52" i="1"/>
  <c r="AW52" i="1" s="1"/>
  <c r="AX53" i="1"/>
  <c r="AW53" i="1" s="1"/>
  <c r="AX54" i="1"/>
  <c r="AW54" i="1" s="1"/>
  <c r="AX55" i="1"/>
  <c r="AW55" i="1" s="1"/>
  <c r="AX56" i="1"/>
  <c r="AW56" i="1" s="1"/>
  <c r="AX57" i="1"/>
  <c r="AW57" i="1" s="1"/>
  <c r="AX58" i="1"/>
  <c r="AW58" i="1" s="1"/>
  <c r="AX59" i="1"/>
  <c r="AW59" i="1" s="1"/>
  <c r="AX60" i="1"/>
  <c r="AW60" i="1" s="1"/>
  <c r="AX61" i="1"/>
  <c r="AW61" i="1" s="1"/>
  <c r="AX62" i="1"/>
  <c r="AW62" i="1" s="1"/>
  <c r="AX63" i="1"/>
  <c r="AW63" i="1" s="1"/>
  <c r="AX47" i="1"/>
  <c r="AW47" i="1" s="1"/>
  <c r="AX46" i="1"/>
  <c r="AW46" i="1" s="1"/>
  <c r="AX38" i="1"/>
  <c r="AW38" i="1" s="1"/>
  <c r="AX39" i="1"/>
  <c r="AW39" i="1" s="1"/>
  <c r="AX40" i="1"/>
  <c r="AW40" i="1" s="1"/>
  <c r="AX41" i="1"/>
  <c r="AW41" i="1" s="1"/>
  <c r="AX42" i="1"/>
  <c r="AW42" i="1" s="1"/>
  <c r="AX43" i="1"/>
  <c r="AW43" i="1" s="1"/>
  <c r="AX44" i="1"/>
  <c r="AW44" i="1" s="1"/>
  <c r="AX45" i="1"/>
  <c r="AW45" i="1" s="1"/>
  <c r="AX37" i="1"/>
  <c r="AW37" i="1" s="1"/>
  <c r="AX12" i="1" l="1"/>
  <c r="AX13" i="1"/>
  <c r="AX14" i="1"/>
  <c r="AX15" i="1"/>
  <c r="AX16" i="1"/>
  <c r="AX17" i="1"/>
  <c r="AX18" i="1"/>
  <c r="AX19" i="1"/>
  <c r="AX20" i="1"/>
  <c r="AX21" i="1"/>
  <c r="AX22" i="1"/>
  <c r="AX23" i="1"/>
  <c r="AX24" i="1"/>
  <c r="AX25" i="1"/>
  <c r="AX26" i="1"/>
  <c r="AX27" i="1"/>
  <c r="AX11" i="1"/>
  <c r="AO12" i="1"/>
  <c r="AO13" i="1"/>
  <c r="AO14" i="1"/>
  <c r="AO15" i="1"/>
  <c r="AO16" i="1"/>
  <c r="AO17" i="1"/>
  <c r="AO18" i="1"/>
  <c r="AO19" i="1"/>
  <c r="AO20" i="1"/>
  <c r="AO21" i="1"/>
  <c r="AO22" i="1"/>
  <c r="AO23" i="1"/>
  <c r="AO24" i="1"/>
  <c r="AO25" i="1"/>
  <c r="AO26" i="1"/>
  <c r="AO27" i="1"/>
  <c r="AO11" i="1"/>
  <c r="V25" i="1" l="1"/>
  <c r="F11" i="1"/>
  <c r="F12" i="1"/>
  <c r="F13" i="1"/>
  <c r="F14" i="1"/>
  <c r="F15" i="1"/>
  <c r="F17" i="1"/>
  <c r="F18" i="1"/>
  <c r="F19" i="1"/>
  <c r="F20" i="1"/>
  <c r="F21" i="1"/>
  <c r="F22" i="1"/>
  <c r="F23" i="1"/>
  <c r="F24" i="1"/>
  <c r="F25" i="1"/>
  <c r="F26" i="1"/>
  <c r="F27" i="1"/>
  <c r="E16" i="1" l="1"/>
  <c r="D16" i="1" s="1"/>
  <c r="V16" i="1"/>
  <c r="X16" i="1"/>
  <c r="Y16" i="1"/>
  <c r="Z16" i="1"/>
  <c r="AA16" i="1"/>
  <c r="AB16" i="1"/>
  <c r="AC16" i="1"/>
  <c r="AD16" i="1"/>
  <c r="AF16" i="1"/>
  <c r="AG16" i="1"/>
  <c r="AH16" i="1"/>
  <c r="AI16" i="1"/>
  <c r="AK16" i="1"/>
  <c r="AM16" i="1"/>
  <c r="AP16" i="1"/>
  <c r="AR16" i="1"/>
  <c r="AS16" i="1"/>
  <c r="AT16" i="1"/>
  <c r="AV16" i="1"/>
  <c r="AZ16" i="1"/>
  <c r="BB16" i="1"/>
  <c r="BA16" i="1" s="1"/>
  <c r="E37" i="1" l="1"/>
  <c r="D37" i="1" s="1"/>
  <c r="G37" i="1"/>
  <c r="R37" i="1"/>
  <c r="Q37" i="1" s="1"/>
  <c r="V37" i="1"/>
  <c r="AF37" i="1"/>
  <c r="AE37" i="1" s="1"/>
  <c r="AO37" i="1"/>
  <c r="AN37" i="1" s="1"/>
  <c r="AP37" i="1" s="1"/>
  <c r="AR37" i="1"/>
  <c r="AQ37" i="1" s="1"/>
  <c r="AV37" i="1"/>
  <c r="AU37" i="1" s="1"/>
  <c r="BB37" i="1"/>
  <c r="BA37" i="1" s="1"/>
  <c r="E45" i="1"/>
  <c r="D45" i="1" s="1"/>
  <c r="G45" i="1"/>
  <c r="I45" i="1" s="1"/>
  <c r="J45" i="1" s="1"/>
  <c r="R45" i="1"/>
  <c r="Q45" i="1" s="1"/>
  <c r="V45" i="1"/>
  <c r="X45" i="1" s="1"/>
  <c r="W45" i="1" s="1"/>
  <c r="AD45" i="1" s="1"/>
  <c r="AF45" i="1"/>
  <c r="AE45" i="1" s="1"/>
  <c r="AG45" i="1" s="1"/>
  <c r="AO45" i="1"/>
  <c r="AN45" i="1" s="1"/>
  <c r="AP45" i="1" s="1"/>
  <c r="AR45" i="1"/>
  <c r="AQ45" i="1" s="1"/>
  <c r="AT45" i="1" s="1"/>
  <c r="AV45" i="1"/>
  <c r="AU45" i="1" s="1"/>
  <c r="BB45" i="1"/>
  <c r="BA45" i="1" s="1"/>
  <c r="E47" i="1"/>
  <c r="D47" i="1" s="1"/>
  <c r="G47" i="1"/>
  <c r="F47" i="1" s="1"/>
  <c r="R47" i="1"/>
  <c r="Q47" i="1" s="1"/>
  <c r="S47" i="1" s="1"/>
  <c r="V47" i="1"/>
  <c r="U47" i="1" s="1"/>
  <c r="AF47" i="1"/>
  <c r="AE47" i="1" s="1"/>
  <c r="AG47" i="1" s="1"/>
  <c r="AO47" i="1"/>
  <c r="AN47" i="1" s="1"/>
  <c r="AP47" i="1" s="1"/>
  <c r="AR47" i="1"/>
  <c r="AQ47" i="1" s="1"/>
  <c r="AT47" i="1" s="1"/>
  <c r="AV47" i="1"/>
  <c r="AU47" i="1" s="1"/>
  <c r="BB47" i="1"/>
  <c r="BA47" i="1" s="1"/>
  <c r="E49" i="1"/>
  <c r="D49" i="1" s="1"/>
  <c r="G49" i="1"/>
  <c r="R49" i="1"/>
  <c r="Q49" i="1" s="1"/>
  <c r="V49" i="1"/>
  <c r="U49" i="1" s="1"/>
  <c r="AF49" i="1"/>
  <c r="AE49" i="1" s="1"/>
  <c r="AO49" i="1"/>
  <c r="AN49" i="1" s="1"/>
  <c r="AP49" i="1" s="1"/>
  <c r="AR49" i="1"/>
  <c r="AQ49" i="1" s="1"/>
  <c r="AV49" i="1"/>
  <c r="AU49" i="1" s="1"/>
  <c r="BB49" i="1"/>
  <c r="BA49" i="1" s="1"/>
  <c r="E50" i="1"/>
  <c r="D50" i="1" s="1"/>
  <c r="G50" i="1"/>
  <c r="I50" i="1" s="1"/>
  <c r="J50" i="1" s="1"/>
  <c r="R50" i="1"/>
  <c r="Q50" i="1" s="1"/>
  <c r="T50" i="1" s="1"/>
  <c r="V50" i="1"/>
  <c r="AF50" i="1"/>
  <c r="AE50" i="1" s="1"/>
  <c r="AG50" i="1" s="1"/>
  <c r="AO50" i="1"/>
  <c r="AN50" i="1" s="1"/>
  <c r="AP50" i="1" s="1"/>
  <c r="AR50" i="1"/>
  <c r="AQ50" i="1" s="1"/>
  <c r="AV50" i="1"/>
  <c r="AU50" i="1" s="1"/>
  <c r="BB50" i="1"/>
  <c r="BA50" i="1" s="1"/>
  <c r="E52" i="1"/>
  <c r="D52" i="1" s="1"/>
  <c r="G52" i="1"/>
  <c r="F52" i="1" s="1"/>
  <c r="R52" i="1"/>
  <c r="Q52" i="1" s="1"/>
  <c r="V52" i="1"/>
  <c r="AF52" i="1"/>
  <c r="AE52" i="1" s="1"/>
  <c r="AI52" i="1" s="1"/>
  <c r="AO52" i="1"/>
  <c r="AN52" i="1" s="1"/>
  <c r="AP52" i="1" s="1"/>
  <c r="AR52" i="1"/>
  <c r="AQ52" i="1" s="1"/>
  <c r="AV52" i="1"/>
  <c r="AU52" i="1" s="1"/>
  <c r="BB52" i="1"/>
  <c r="BA52" i="1" s="1"/>
  <c r="E53" i="1"/>
  <c r="D53" i="1" s="1"/>
  <c r="G53" i="1"/>
  <c r="F53" i="1" s="1"/>
  <c r="R53" i="1"/>
  <c r="Q53" i="1" s="1"/>
  <c r="S53" i="1" s="1"/>
  <c r="V53" i="1"/>
  <c r="U53" i="1" s="1"/>
  <c r="AF53" i="1"/>
  <c r="AE53" i="1" s="1"/>
  <c r="AH53" i="1" s="1"/>
  <c r="AO53" i="1"/>
  <c r="AN53" i="1" s="1"/>
  <c r="AP53" i="1" s="1"/>
  <c r="AR53" i="1"/>
  <c r="AQ53" i="1" s="1"/>
  <c r="AV53" i="1"/>
  <c r="AU53" i="1" s="1"/>
  <c r="BB53" i="1"/>
  <c r="BA53" i="1" s="1"/>
  <c r="E55" i="1"/>
  <c r="D55" i="1" s="1"/>
  <c r="G55" i="1"/>
  <c r="R55" i="1"/>
  <c r="Q55" i="1" s="1"/>
  <c r="T55" i="1" s="1"/>
  <c r="V55" i="1"/>
  <c r="U55" i="1" s="1"/>
  <c r="AF55" i="1"/>
  <c r="AE55" i="1" s="1"/>
  <c r="AI55" i="1" s="1"/>
  <c r="AO55" i="1"/>
  <c r="AN55" i="1" s="1"/>
  <c r="AP55" i="1" s="1"/>
  <c r="AR55" i="1"/>
  <c r="AQ55" i="1" s="1"/>
  <c r="AV55" i="1"/>
  <c r="AU55" i="1" s="1"/>
  <c r="BB55" i="1"/>
  <c r="BA55" i="1" s="1"/>
  <c r="E58" i="1"/>
  <c r="D58" i="1" s="1"/>
  <c r="G58" i="1"/>
  <c r="F58" i="1" s="1"/>
  <c r="R58" i="1"/>
  <c r="Q58" i="1" s="1"/>
  <c r="T58" i="1" s="1"/>
  <c r="V58" i="1"/>
  <c r="X58" i="1" s="1"/>
  <c r="W58" i="1" s="1"/>
  <c r="Y58" i="1" s="1"/>
  <c r="AF58" i="1"/>
  <c r="AE58" i="1" s="1"/>
  <c r="AG58" i="1" s="1"/>
  <c r="AO58" i="1"/>
  <c r="AN58" i="1" s="1"/>
  <c r="AP58" i="1" s="1"/>
  <c r="AR58" i="1"/>
  <c r="AQ58" i="1" s="1"/>
  <c r="AS58" i="1" s="1"/>
  <c r="AV58" i="1"/>
  <c r="AU58" i="1" s="1"/>
  <c r="BB58" i="1"/>
  <c r="BA58" i="1" s="1"/>
  <c r="E60" i="1"/>
  <c r="D60" i="1" s="1"/>
  <c r="G60" i="1"/>
  <c r="I60" i="1" s="1"/>
  <c r="R60" i="1"/>
  <c r="Q60" i="1" s="1"/>
  <c r="V60" i="1"/>
  <c r="X60" i="1" s="1"/>
  <c r="W60" i="1" s="1"/>
  <c r="Y60" i="1" s="1"/>
  <c r="AF60" i="1"/>
  <c r="AE60" i="1" s="1"/>
  <c r="AG60" i="1" s="1"/>
  <c r="AO60" i="1"/>
  <c r="AN60" i="1" s="1"/>
  <c r="AP60" i="1" s="1"/>
  <c r="AR60" i="1"/>
  <c r="AQ60" i="1" s="1"/>
  <c r="AS60" i="1" s="1"/>
  <c r="AV60" i="1"/>
  <c r="AU60" i="1" s="1"/>
  <c r="BB60" i="1"/>
  <c r="BA60" i="1" s="1"/>
  <c r="E62" i="1"/>
  <c r="D62" i="1" s="1"/>
  <c r="G62" i="1"/>
  <c r="F62" i="1" s="1"/>
  <c r="R62" i="1"/>
  <c r="Q62" i="1" s="1"/>
  <c r="V62" i="1"/>
  <c r="U62" i="1" s="1"/>
  <c r="AF62" i="1"/>
  <c r="AE62" i="1" s="1"/>
  <c r="AI62" i="1" s="1"/>
  <c r="AO62" i="1"/>
  <c r="AN62" i="1" s="1"/>
  <c r="AP62" i="1" s="1"/>
  <c r="AR62" i="1"/>
  <c r="AQ62" i="1" s="1"/>
  <c r="AV62" i="1"/>
  <c r="AU62" i="1" s="1"/>
  <c r="BB62" i="1"/>
  <c r="BA62" i="1" s="1"/>
  <c r="E63" i="1"/>
  <c r="D63" i="1" s="1"/>
  <c r="G63" i="1"/>
  <c r="F63" i="1" s="1"/>
  <c r="R63" i="1"/>
  <c r="Q63" i="1" s="1"/>
  <c r="T63" i="1" s="1"/>
  <c r="V63" i="1"/>
  <c r="X63" i="1" s="1"/>
  <c r="W63" i="1" s="1"/>
  <c r="AF63" i="1"/>
  <c r="AE63" i="1" s="1"/>
  <c r="AH63" i="1" s="1"/>
  <c r="AO63" i="1"/>
  <c r="AN63" i="1" s="1"/>
  <c r="AP63" i="1" s="1"/>
  <c r="AR63" i="1"/>
  <c r="AQ63" i="1" s="1"/>
  <c r="AT63" i="1" s="1"/>
  <c r="AV63" i="1"/>
  <c r="AU63" i="1" s="1"/>
  <c r="BB63" i="1"/>
  <c r="BA63" i="1" s="1"/>
  <c r="G65" i="1"/>
  <c r="I65" i="1" s="1"/>
  <c r="M65" i="1" s="1"/>
  <c r="R65" i="1"/>
  <c r="Q65" i="1" s="1"/>
  <c r="S65" i="1" s="1"/>
  <c r="V65" i="1"/>
  <c r="U65" i="1" s="1"/>
  <c r="AF65" i="1"/>
  <c r="AE65" i="1" s="1"/>
  <c r="AI65" i="1" s="1"/>
  <c r="AO65" i="1"/>
  <c r="AN65" i="1" s="1"/>
  <c r="AP65" i="1" s="1"/>
  <c r="AR65" i="1"/>
  <c r="AQ65" i="1" s="1"/>
  <c r="AV65" i="1"/>
  <c r="AU65" i="1" s="1"/>
  <c r="BB65" i="1"/>
  <c r="E65" i="1" s="1"/>
  <c r="D65" i="1" s="1"/>
  <c r="G67" i="1"/>
  <c r="I67" i="1" s="1"/>
  <c r="O67" i="1" s="1"/>
  <c r="R67" i="1"/>
  <c r="Q67" i="1" s="1"/>
  <c r="V67" i="1"/>
  <c r="X67" i="1" s="1"/>
  <c r="W67" i="1" s="1"/>
  <c r="AA67" i="1" s="1"/>
  <c r="AF67" i="1"/>
  <c r="AE67" i="1" s="1"/>
  <c r="AO67" i="1"/>
  <c r="AN67" i="1" s="1"/>
  <c r="AP67" i="1" s="1"/>
  <c r="AR67" i="1"/>
  <c r="AQ67" i="1" s="1"/>
  <c r="AS67" i="1" s="1"/>
  <c r="AV67" i="1"/>
  <c r="AU67" i="1" s="1"/>
  <c r="BB67" i="1"/>
  <c r="E67" i="1" s="1"/>
  <c r="D67" i="1" s="1"/>
  <c r="G68" i="1"/>
  <c r="F68" i="1" s="1"/>
  <c r="R68" i="1"/>
  <c r="Q68" i="1" s="1"/>
  <c r="S68" i="1" s="1"/>
  <c r="V68" i="1"/>
  <c r="U68" i="1" s="1"/>
  <c r="AF68" i="1"/>
  <c r="AE68" i="1" s="1"/>
  <c r="AI68" i="1" s="1"/>
  <c r="AO68" i="1"/>
  <c r="AN68" i="1" s="1"/>
  <c r="AP68" i="1" s="1"/>
  <c r="AR68" i="1"/>
  <c r="AQ68" i="1" s="1"/>
  <c r="AT68" i="1" s="1"/>
  <c r="AV68" i="1"/>
  <c r="AU68" i="1" s="1"/>
  <c r="BB68" i="1"/>
  <c r="BA68" i="1" s="1"/>
  <c r="E69" i="1"/>
  <c r="D69" i="1" s="1"/>
  <c r="G69" i="1"/>
  <c r="R69" i="1"/>
  <c r="Q69" i="1" s="1"/>
  <c r="S69" i="1" s="1"/>
  <c r="V69" i="1"/>
  <c r="X69" i="1" s="1"/>
  <c r="W69" i="1" s="1"/>
  <c r="AA69" i="1" s="1"/>
  <c r="AF69" i="1"/>
  <c r="AE69" i="1" s="1"/>
  <c r="AO69" i="1"/>
  <c r="AN69" i="1" s="1"/>
  <c r="AP69" i="1" s="1"/>
  <c r="AR69" i="1"/>
  <c r="AQ69" i="1" s="1"/>
  <c r="AT69" i="1" s="1"/>
  <c r="AV69" i="1"/>
  <c r="AU69" i="1" s="1"/>
  <c r="BB69" i="1"/>
  <c r="BA69" i="1" s="1"/>
  <c r="X65" i="1" l="1"/>
  <c r="W65" i="1" s="1"/>
  <c r="Z65" i="1" s="1"/>
  <c r="L65" i="1"/>
  <c r="X68" i="1"/>
  <c r="W68" i="1" s="1"/>
  <c r="AC68" i="1" s="1"/>
  <c r="I68" i="1"/>
  <c r="P68" i="1" s="1"/>
  <c r="I62" i="1"/>
  <c r="J62" i="1" s="1"/>
  <c r="X62" i="1"/>
  <c r="W62" i="1" s="1"/>
  <c r="AB62" i="1" s="1"/>
  <c r="I52" i="1"/>
  <c r="J52" i="1" s="1"/>
  <c r="I47" i="1"/>
  <c r="M47" i="1" s="1"/>
  <c r="X47" i="1"/>
  <c r="W47" i="1" s="1"/>
  <c r="Y47" i="1" s="1"/>
  <c r="K67" i="1"/>
  <c r="AS68" i="1"/>
  <c r="J67" i="1"/>
  <c r="O50" i="1"/>
  <c r="AS47" i="1"/>
  <c r="X53" i="1"/>
  <c r="W53" i="1" s="1"/>
  <c r="AC53" i="1" s="1"/>
  <c r="F67" i="1"/>
  <c r="L60" i="1"/>
  <c r="M60" i="1"/>
  <c r="F45" i="1"/>
  <c r="O65" i="1"/>
  <c r="J65" i="1"/>
  <c r="AD58" i="1"/>
  <c r="I58" i="1"/>
  <c r="N58" i="1" s="1"/>
  <c r="Y45" i="1"/>
  <c r="P65" i="1"/>
  <c r="K65" i="1"/>
  <c r="F65" i="1"/>
  <c r="F60" i="1"/>
  <c r="T68" i="1"/>
  <c r="N65" i="1"/>
  <c r="H65" i="1"/>
  <c r="I63" i="1"/>
  <c r="O63" i="1" s="1"/>
  <c r="Z60" i="1"/>
  <c r="Z58" i="1"/>
  <c r="S50" i="1"/>
  <c r="AS50" i="1"/>
  <c r="AT50" i="1"/>
  <c r="T60" i="1"/>
  <c r="S60" i="1"/>
  <c r="BA67" i="1"/>
  <c r="U63" i="1"/>
  <c r="BA65" i="1"/>
  <c r="S63" i="1"/>
  <c r="AH60" i="1"/>
  <c r="H60" i="1"/>
  <c r="AI58" i="1"/>
  <c r="N50" i="1"/>
  <c r="F50" i="1"/>
  <c r="U69" i="1"/>
  <c r="AH68" i="1"/>
  <c r="AG62" i="1"/>
  <c r="U60" i="1"/>
  <c r="N60" i="1"/>
  <c r="I53" i="1"/>
  <c r="N53" i="1" s="1"/>
  <c r="K50" i="1"/>
  <c r="U58" i="1"/>
  <c r="X55" i="1"/>
  <c r="W55" i="1" s="1"/>
  <c r="Y55" i="1" s="1"/>
  <c r="X49" i="1"/>
  <c r="W49" i="1" s="1"/>
  <c r="Z49" i="1" s="1"/>
  <c r="Z45" i="1"/>
  <c r="E68" i="1"/>
  <c r="D68" i="1" s="1"/>
  <c r="T53" i="1"/>
  <c r="AH50" i="1"/>
  <c r="AS63" i="1"/>
  <c r="AH58" i="1"/>
  <c r="AA58" i="1"/>
  <c r="S58" i="1"/>
  <c r="AI53" i="1"/>
  <c r="AT58" i="1"/>
  <c r="AT67" i="1"/>
  <c r="AI63" i="1"/>
  <c r="T65" i="1"/>
  <c r="AG63" i="1"/>
  <c r="AT60" i="1"/>
  <c r="AH52" i="1"/>
  <c r="AH62" i="1"/>
  <c r="AG52" i="1"/>
  <c r="AI50" i="1"/>
  <c r="T47" i="1"/>
  <c r="Z63" i="1"/>
  <c r="AD63" i="1"/>
  <c r="Y63" i="1"/>
  <c r="AA63" i="1"/>
  <c r="AC63" i="1"/>
  <c r="AB63" i="1"/>
  <c r="AS55" i="1"/>
  <c r="AT55" i="1"/>
  <c r="AS65" i="1"/>
  <c r="AT65" i="1"/>
  <c r="AH69" i="1"/>
  <c r="AG69" i="1"/>
  <c r="AS62" i="1"/>
  <c r="AT62" i="1"/>
  <c r="AS37" i="1"/>
  <c r="AT37" i="1"/>
  <c r="AG67" i="1"/>
  <c r="AH67" i="1"/>
  <c r="U67" i="1"/>
  <c r="AS69" i="1"/>
  <c r="AI69" i="1"/>
  <c r="AB60" i="1"/>
  <c r="AA60" i="1"/>
  <c r="AC60" i="1"/>
  <c r="AG55" i="1"/>
  <c r="AH55" i="1"/>
  <c r="U52" i="1"/>
  <c r="X52" i="1"/>
  <c r="W52" i="1" s="1"/>
  <c r="Z69" i="1"/>
  <c r="AD69" i="1"/>
  <c r="AB69" i="1"/>
  <c r="AB67" i="1"/>
  <c r="AC67" i="1"/>
  <c r="Y67" i="1"/>
  <c r="AD67" i="1"/>
  <c r="S62" i="1"/>
  <c r="T62" i="1"/>
  <c r="AS52" i="1"/>
  <c r="AT52" i="1"/>
  <c r="S45" i="1"/>
  <c r="T45" i="1"/>
  <c r="AC69" i="1"/>
  <c r="X50" i="1"/>
  <c r="W50" i="1" s="1"/>
  <c r="U50" i="1"/>
  <c r="Y69" i="1"/>
  <c r="T69" i="1"/>
  <c r="F69" i="1"/>
  <c r="I69" i="1"/>
  <c r="AI67" i="1"/>
  <c r="Z67" i="1"/>
  <c r="T67" i="1"/>
  <c r="S67" i="1"/>
  <c r="H67" i="1"/>
  <c r="L67" i="1"/>
  <c r="P67" i="1"/>
  <c r="M67" i="1"/>
  <c r="N67" i="1"/>
  <c r="AG65" i="1"/>
  <c r="AH65" i="1"/>
  <c r="AI60" i="1"/>
  <c r="AD60" i="1"/>
  <c r="S55" i="1"/>
  <c r="AT53" i="1"/>
  <c r="AS53" i="1"/>
  <c r="S52" i="1"/>
  <c r="T52" i="1"/>
  <c r="AH47" i="1"/>
  <c r="AI47" i="1"/>
  <c r="AG68" i="1"/>
  <c r="AG53" i="1"/>
  <c r="AG49" i="1"/>
  <c r="AH49" i="1"/>
  <c r="AI49" i="1"/>
  <c r="AS45" i="1"/>
  <c r="AI45" i="1"/>
  <c r="AH45" i="1"/>
  <c r="K45" i="1"/>
  <c r="O45" i="1"/>
  <c r="H45" i="1"/>
  <c r="L45" i="1"/>
  <c r="P45" i="1"/>
  <c r="M45" i="1"/>
  <c r="N45" i="1"/>
  <c r="I37" i="1"/>
  <c r="F37" i="1"/>
  <c r="K60" i="1"/>
  <c r="O60" i="1"/>
  <c r="J60" i="1"/>
  <c r="P60" i="1"/>
  <c r="AB58" i="1"/>
  <c r="AC58" i="1"/>
  <c r="I55" i="1"/>
  <c r="F55" i="1"/>
  <c r="AS49" i="1"/>
  <c r="AT49" i="1"/>
  <c r="S49" i="1"/>
  <c r="T49" i="1"/>
  <c r="AG37" i="1"/>
  <c r="AH37" i="1"/>
  <c r="AI37" i="1"/>
  <c r="T37" i="1"/>
  <c r="S37" i="1"/>
  <c r="I49" i="1"/>
  <c r="F49" i="1"/>
  <c r="AA45" i="1"/>
  <c r="AB45" i="1"/>
  <c r="X37" i="1"/>
  <c r="W37" i="1" s="1"/>
  <c r="U37" i="1"/>
  <c r="H50" i="1"/>
  <c r="L50" i="1"/>
  <c r="P50" i="1"/>
  <c r="M50" i="1"/>
  <c r="AC45" i="1"/>
  <c r="U45" i="1"/>
  <c r="E26" i="1"/>
  <c r="D26" i="1" s="1"/>
  <c r="G26" i="1"/>
  <c r="I26" i="1"/>
  <c r="R26" i="1"/>
  <c r="S26" i="1"/>
  <c r="T26" i="1"/>
  <c r="V26" i="1"/>
  <c r="X26" i="1"/>
  <c r="Y26" i="1"/>
  <c r="AA26" i="1"/>
  <c r="AB26" i="1"/>
  <c r="AC26" i="1"/>
  <c r="AD26" i="1"/>
  <c r="AF26" i="1"/>
  <c r="AG26" i="1"/>
  <c r="AH26" i="1"/>
  <c r="AI26" i="1"/>
  <c r="AK26" i="1"/>
  <c r="AM26" i="1"/>
  <c r="AP26" i="1"/>
  <c r="AR26" i="1"/>
  <c r="AS26" i="1"/>
  <c r="AT26" i="1"/>
  <c r="AV26" i="1"/>
  <c r="AZ26" i="1"/>
  <c r="BB26" i="1"/>
  <c r="AC65" i="1" l="1"/>
  <c r="Y65" i="1"/>
  <c r="AB65" i="1"/>
  <c r="AB68" i="1"/>
  <c r="AA65" i="1"/>
  <c r="AD65" i="1"/>
  <c r="P52" i="1"/>
  <c r="Y68" i="1"/>
  <c r="O52" i="1"/>
  <c r="K52" i="1"/>
  <c r="H52" i="1"/>
  <c r="AA68" i="1"/>
  <c r="Y62" i="1"/>
  <c r="AC62" i="1"/>
  <c r="Z62" i="1"/>
  <c r="Z53" i="1"/>
  <c r="AA62" i="1"/>
  <c r="L52" i="1"/>
  <c r="Z68" i="1"/>
  <c r="AA53" i="1"/>
  <c r="AD68" i="1"/>
  <c r="AB53" i="1"/>
  <c r="AD53" i="1"/>
  <c r="M52" i="1"/>
  <c r="M63" i="1"/>
  <c r="O68" i="1"/>
  <c r="H63" i="1"/>
  <c r="K63" i="1"/>
  <c r="N63" i="1"/>
  <c r="P63" i="1"/>
  <c r="J63" i="1"/>
  <c r="J68" i="1"/>
  <c r="L47" i="1"/>
  <c r="J47" i="1"/>
  <c r="H68" i="1"/>
  <c r="Z55" i="1"/>
  <c r="Y53" i="1"/>
  <c r="AD62" i="1"/>
  <c r="L63" i="1"/>
  <c r="N52" i="1"/>
  <c r="K62" i="1"/>
  <c r="Y49" i="1"/>
  <c r="L68" i="1"/>
  <c r="K68" i="1"/>
  <c r="H62" i="1"/>
  <c r="H47" i="1"/>
  <c r="N47" i="1"/>
  <c r="P62" i="1"/>
  <c r="N62" i="1"/>
  <c r="L62" i="1"/>
  <c r="N68" i="1"/>
  <c r="M68" i="1"/>
  <c r="AD47" i="1"/>
  <c r="M62" i="1"/>
  <c r="O62" i="1"/>
  <c r="P47" i="1"/>
  <c r="O47" i="1"/>
  <c r="AB47" i="1"/>
  <c r="AB49" i="1"/>
  <c r="P58" i="1"/>
  <c r="AC47" i="1"/>
  <c r="Z47" i="1"/>
  <c r="M58" i="1"/>
  <c r="K47" i="1"/>
  <c r="AA47" i="1"/>
  <c r="AC49" i="1"/>
  <c r="O58" i="1"/>
  <c r="AA49" i="1"/>
  <c r="K58" i="1"/>
  <c r="L58" i="1"/>
  <c r="AD49" i="1"/>
  <c r="J58" i="1"/>
  <c r="H58" i="1"/>
  <c r="L53" i="1"/>
  <c r="AD55" i="1"/>
  <c r="AC55" i="1"/>
  <c r="H53" i="1"/>
  <c r="O53" i="1"/>
  <c r="P53" i="1"/>
  <c r="M53" i="1"/>
  <c r="K53" i="1"/>
  <c r="AA55" i="1"/>
  <c r="J53" i="1"/>
  <c r="AB55" i="1"/>
  <c r="AB50" i="1"/>
  <c r="Y50" i="1"/>
  <c r="AC50" i="1"/>
  <c r="Z50" i="1"/>
  <c r="AD50" i="1"/>
  <c r="AA50" i="1"/>
  <c r="AA52" i="1"/>
  <c r="Y52" i="1"/>
  <c r="AD52" i="1"/>
  <c r="Z52" i="1"/>
  <c r="AB52" i="1"/>
  <c r="AC52" i="1"/>
  <c r="M55" i="1"/>
  <c r="K55" i="1"/>
  <c r="P55" i="1"/>
  <c r="N55" i="1"/>
  <c r="H55" i="1"/>
  <c r="O55" i="1"/>
  <c r="J55" i="1"/>
  <c r="L55" i="1"/>
  <c r="H37" i="1"/>
  <c r="L37" i="1"/>
  <c r="P37" i="1"/>
  <c r="M37" i="1"/>
  <c r="K37" i="1"/>
  <c r="N37" i="1"/>
  <c r="J37" i="1"/>
  <c r="O37" i="1"/>
  <c r="J69" i="1"/>
  <c r="N69" i="1"/>
  <c r="O69" i="1"/>
  <c r="M69" i="1"/>
  <c r="L69" i="1"/>
  <c r="H69" i="1"/>
  <c r="P69" i="1"/>
  <c r="K69" i="1"/>
  <c r="AB37" i="1"/>
  <c r="Y37" i="1"/>
  <c r="AC37" i="1"/>
  <c r="AA37" i="1"/>
  <c r="AD37" i="1"/>
  <c r="Z37" i="1"/>
  <c r="M49" i="1"/>
  <c r="J49" i="1"/>
  <c r="N49" i="1"/>
  <c r="L49" i="1"/>
  <c r="O49" i="1"/>
  <c r="H49" i="1"/>
  <c r="P49" i="1"/>
  <c r="K49" i="1"/>
  <c r="M26" i="1"/>
  <c r="J26" i="1"/>
  <c r="N26" i="1"/>
  <c r="K26" i="1"/>
  <c r="O26" i="1"/>
  <c r="L26" i="1"/>
  <c r="P26" i="1"/>
  <c r="AZ47" i="1" l="1"/>
  <c r="AY47" i="1" s="1"/>
  <c r="AZ37" i="1"/>
  <c r="AY37" i="1" s="1"/>
  <c r="AZ45" i="1"/>
  <c r="AY45" i="1" s="1"/>
  <c r="AZ49" i="1"/>
  <c r="AY49" i="1" s="1"/>
  <c r="AZ50" i="1"/>
  <c r="AY50" i="1" s="1"/>
  <c r="AZ58" i="1"/>
  <c r="AY58" i="1" s="1"/>
  <c r="AZ65" i="1"/>
  <c r="AY65" i="1" s="1"/>
  <c r="AZ69" i="1"/>
  <c r="AY69" i="1" s="1"/>
  <c r="AZ55" i="1"/>
  <c r="AY55" i="1" s="1"/>
  <c r="AZ67" i="1"/>
  <c r="AY67" i="1" s="1"/>
  <c r="AZ52" i="1"/>
  <c r="AY52" i="1" s="1"/>
  <c r="AZ60" i="1"/>
  <c r="AY60" i="1" s="1"/>
  <c r="AZ68" i="1"/>
  <c r="AY68" i="1" s="1"/>
  <c r="AZ53" i="1"/>
  <c r="AY53" i="1" s="1"/>
  <c r="AZ62" i="1"/>
  <c r="AY62" i="1" s="1"/>
  <c r="AZ63" i="1"/>
  <c r="AY63" i="1" s="1"/>
  <c r="AK37" i="1"/>
  <c r="AJ37" i="1" s="1"/>
  <c r="AK45" i="1"/>
  <c r="AJ45" i="1" s="1"/>
  <c r="AK52" i="1"/>
  <c r="AJ52" i="1" s="1"/>
  <c r="AK53" i="1"/>
  <c r="AJ53" i="1" s="1"/>
  <c r="AK60" i="1"/>
  <c r="AJ60" i="1" s="1"/>
  <c r="AK68" i="1"/>
  <c r="AJ68" i="1" s="1"/>
  <c r="AK69" i="1"/>
  <c r="AJ69" i="1" s="1"/>
  <c r="AK58" i="1"/>
  <c r="AJ58" i="1" s="1"/>
  <c r="AK62" i="1"/>
  <c r="AJ62" i="1" s="1"/>
  <c r="AK67" i="1"/>
  <c r="AJ67" i="1" s="1"/>
  <c r="AK49" i="1"/>
  <c r="AJ49" i="1" s="1"/>
  <c r="AK50" i="1"/>
  <c r="AJ50" i="1" s="1"/>
  <c r="AK65" i="1"/>
  <c r="AJ65" i="1" s="1"/>
  <c r="AK47" i="1"/>
  <c r="AJ47" i="1" s="1"/>
  <c r="AK55" i="1"/>
  <c r="AJ55" i="1" s="1"/>
  <c r="AK63" i="1"/>
  <c r="AJ63" i="1" s="1"/>
  <c r="AM47" i="1"/>
  <c r="AL47" i="1" s="1"/>
  <c r="AM37" i="1"/>
  <c r="AL37" i="1" s="1"/>
  <c r="AM45" i="1"/>
  <c r="AL45" i="1" s="1"/>
  <c r="AM49" i="1"/>
  <c r="AL49" i="1" s="1"/>
  <c r="AM50" i="1"/>
  <c r="AL50" i="1" s="1"/>
  <c r="AM65" i="1"/>
  <c r="AL65" i="1" s="1"/>
  <c r="AM69" i="1"/>
  <c r="AL69" i="1" s="1"/>
  <c r="AM55" i="1"/>
  <c r="AL55" i="1" s="1"/>
  <c r="AM62" i="1"/>
  <c r="AL62" i="1" s="1"/>
  <c r="AM67" i="1"/>
  <c r="AL67" i="1" s="1"/>
  <c r="AM52" i="1"/>
  <c r="AL52" i="1" s="1"/>
  <c r="AM53" i="1"/>
  <c r="AL53" i="1" s="1"/>
  <c r="AM60" i="1"/>
  <c r="AL60" i="1" s="1"/>
  <c r="AM68" i="1"/>
  <c r="AL68" i="1" s="1"/>
  <c r="AM58" i="1"/>
  <c r="AL58" i="1" s="1"/>
  <c r="AM63" i="1"/>
  <c r="AL63" i="1" s="1"/>
  <c r="V39" i="1" l="1"/>
  <c r="X39" i="1"/>
  <c r="W39" i="1" s="1"/>
  <c r="V40" i="1"/>
  <c r="X40" i="1"/>
  <c r="W40" i="1" s="1"/>
  <c r="V41" i="1"/>
  <c r="X41" i="1"/>
  <c r="W41" i="1" s="1"/>
  <c r="V42" i="1"/>
  <c r="X42" i="1"/>
  <c r="W42" i="1" s="1"/>
  <c r="V43" i="1"/>
  <c r="X43" i="1"/>
  <c r="W43" i="1" s="1"/>
  <c r="V44" i="1"/>
  <c r="X44" i="1"/>
  <c r="W44" i="1" s="1"/>
  <c r="X38" i="1"/>
  <c r="V38"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Z27" i="1" s="1"/>
  <c r="AA27" i="1" s="1"/>
  <c r="AB27" i="1" s="1"/>
  <c r="AC27" i="1" s="1"/>
  <c r="AD27" i="1" s="1"/>
  <c r="AZ32" i="1" l="1"/>
  <c r="AZ33" i="1"/>
  <c r="U39" i="1" l="1"/>
  <c r="U41" i="1"/>
  <c r="U43" i="1"/>
  <c r="U38" i="1"/>
  <c r="U44" i="1" l="1"/>
  <c r="U42" i="1"/>
  <c r="U40" i="1"/>
  <c r="BB66" i="1"/>
  <c r="BA66" i="1" s="1"/>
  <c r="AZ66" i="1"/>
  <c r="AY66" i="1" s="1"/>
  <c r="AV66" i="1"/>
  <c r="AU66" i="1" s="1"/>
  <c r="AR66" i="1"/>
  <c r="AQ66" i="1" s="1"/>
  <c r="AS66" i="1" s="1"/>
  <c r="AO66" i="1"/>
  <c r="AN66" i="1" s="1"/>
  <c r="AP66" i="1" s="1"/>
  <c r="AM66" i="1"/>
  <c r="AL66" i="1" s="1"/>
  <c r="AK66" i="1"/>
  <c r="AJ66" i="1" s="1"/>
  <c r="AF66" i="1"/>
  <c r="AE66" i="1" s="1"/>
  <c r="AG66" i="1" s="1"/>
  <c r="V66" i="1"/>
  <c r="X66" i="1" s="1"/>
  <c r="W66" i="1" s="1"/>
  <c r="AC66" i="1" s="1"/>
  <c r="R66" i="1"/>
  <c r="Q66" i="1" s="1"/>
  <c r="T66" i="1" s="1"/>
  <c r="G66" i="1"/>
  <c r="F66" i="1" s="1"/>
  <c r="BB64" i="1"/>
  <c r="BA64" i="1" s="1"/>
  <c r="AZ64" i="1"/>
  <c r="AY64" i="1" s="1"/>
  <c r="AV64" i="1"/>
  <c r="AU64" i="1" s="1"/>
  <c r="AR64" i="1"/>
  <c r="AQ64" i="1" s="1"/>
  <c r="AO64" i="1"/>
  <c r="AN64" i="1" s="1"/>
  <c r="AP64" i="1" s="1"/>
  <c r="AM64" i="1"/>
  <c r="AL64" i="1" s="1"/>
  <c r="AK64" i="1"/>
  <c r="AJ64" i="1" s="1"/>
  <c r="AF64" i="1"/>
  <c r="AE64" i="1" s="1"/>
  <c r="V64" i="1"/>
  <c r="U64" i="1" s="1"/>
  <c r="R64" i="1"/>
  <c r="Q64" i="1" s="1"/>
  <c r="G64" i="1"/>
  <c r="I64" i="1" s="1"/>
  <c r="BB46" i="1"/>
  <c r="E46" i="1" s="1"/>
  <c r="AZ46" i="1"/>
  <c r="AV46" i="1"/>
  <c r="AR46" i="1"/>
  <c r="AO46" i="1"/>
  <c r="AM46" i="1"/>
  <c r="AK46" i="1"/>
  <c r="AF46" i="1"/>
  <c r="G46" i="1"/>
  <c r="I46" i="1" s="1"/>
  <c r="BB61" i="1"/>
  <c r="BA61" i="1" s="1"/>
  <c r="AZ61" i="1"/>
  <c r="AY61" i="1" s="1"/>
  <c r="AV61" i="1"/>
  <c r="AU61" i="1" s="1"/>
  <c r="AR61" i="1"/>
  <c r="AQ61" i="1" s="1"/>
  <c r="AS61" i="1" s="1"/>
  <c r="AO61" i="1"/>
  <c r="AN61" i="1" s="1"/>
  <c r="AP61" i="1" s="1"/>
  <c r="AM61" i="1"/>
  <c r="AL61" i="1" s="1"/>
  <c r="AK61" i="1"/>
  <c r="AJ61" i="1" s="1"/>
  <c r="AF61" i="1"/>
  <c r="AE61" i="1" s="1"/>
  <c r="V61" i="1"/>
  <c r="X61" i="1" s="1"/>
  <c r="W61" i="1" s="1"/>
  <c r="R61" i="1"/>
  <c r="Q61" i="1" s="1"/>
  <c r="T61" i="1" s="1"/>
  <c r="G61" i="1"/>
  <c r="F61" i="1" s="1"/>
  <c r="BB59" i="1"/>
  <c r="BA59" i="1" s="1"/>
  <c r="AZ59" i="1"/>
  <c r="AY59" i="1" s="1"/>
  <c r="AV59" i="1"/>
  <c r="AU59" i="1" s="1"/>
  <c r="AR59" i="1"/>
  <c r="AQ59" i="1" s="1"/>
  <c r="AS59" i="1" s="1"/>
  <c r="AO59" i="1"/>
  <c r="AN59" i="1" s="1"/>
  <c r="AP59" i="1" s="1"/>
  <c r="AM59" i="1"/>
  <c r="AL59" i="1" s="1"/>
  <c r="AK59" i="1"/>
  <c r="AJ59" i="1" s="1"/>
  <c r="AF59" i="1"/>
  <c r="AE59" i="1" s="1"/>
  <c r="AI59" i="1" s="1"/>
  <c r="V59" i="1"/>
  <c r="U59" i="1" s="1"/>
  <c r="R59" i="1"/>
  <c r="Q59" i="1" s="1"/>
  <c r="G59" i="1"/>
  <c r="F59" i="1" s="1"/>
  <c r="BB57" i="1"/>
  <c r="BA57" i="1" s="1"/>
  <c r="AZ57" i="1"/>
  <c r="AY57" i="1" s="1"/>
  <c r="AV57" i="1"/>
  <c r="AU57" i="1" s="1"/>
  <c r="AR57" i="1"/>
  <c r="AQ57" i="1" s="1"/>
  <c r="AS57" i="1" s="1"/>
  <c r="AO57" i="1"/>
  <c r="AN57" i="1" s="1"/>
  <c r="AP57" i="1" s="1"/>
  <c r="AM57" i="1"/>
  <c r="AL57" i="1" s="1"/>
  <c r="AK57" i="1"/>
  <c r="AJ57" i="1" s="1"/>
  <c r="AF57" i="1"/>
  <c r="AE57" i="1" s="1"/>
  <c r="V57" i="1"/>
  <c r="U57" i="1" s="1"/>
  <c r="R57" i="1"/>
  <c r="Q57" i="1" s="1"/>
  <c r="T57" i="1" s="1"/>
  <c r="G57" i="1"/>
  <c r="F57" i="1" s="1"/>
  <c r="BB56" i="1"/>
  <c r="BA56" i="1" s="1"/>
  <c r="AZ56" i="1"/>
  <c r="AY56" i="1" s="1"/>
  <c r="AV56" i="1"/>
  <c r="AU56" i="1" s="1"/>
  <c r="AR56" i="1"/>
  <c r="AQ56" i="1" s="1"/>
  <c r="AS56" i="1" s="1"/>
  <c r="AO56" i="1"/>
  <c r="AN56" i="1" s="1"/>
  <c r="AP56" i="1" s="1"/>
  <c r="AM56" i="1"/>
  <c r="AL56" i="1" s="1"/>
  <c r="AK56" i="1"/>
  <c r="AJ56" i="1" s="1"/>
  <c r="AF56" i="1"/>
  <c r="AE56" i="1" s="1"/>
  <c r="AI56" i="1" s="1"/>
  <c r="V56" i="1"/>
  <c r="U56" i="1" s="1"/>
  <c r="R56" i="1"/>
  <c r="Q56" i="1" s="1"/>
  <c r="G56" i="1"/>
  <c r="I56" i="1" s="1"/>
  <c r="BB54" i="1"/>
  <c r="BA54" i="1" s="1"/>
  <c r="AZ54" i="1"/>
  <c r="AY54" i="1" s="1"/>
  <c r="AV54" i="1"/>
  <c r="AU54" i="1" s="1"/>
  <c r="AR54" i="1"/>
  <c r="AQ54" i="1" s="1"/>
  <c r="AO54" i="1"/>
  <c r="AN54" i="1" s="1"/>
  <c r="AP54" i="1" s="1"/>
  <c r="AM54" i="1"/>
  <c r="AL54" i="1" s="1"/>
  <c r="AK54" i="1"/>
  <c r="AJ54" i="1" s="1"/>
  <c r="AF54" i="1"/>
  <c r="AE54" i="1" s="1"/>
  <c r="V54" i="1"/>
  <c r="X54" i="1" s="1"/>
  <c r="W54" i="1" s="1"/>
  <c r="R54" i="1"/>
  <c r="Q54" i="1" s="1"/>
  <c r="T54" i="1" s="1"/>
  <c r="G54" i="1"/>
  <c r="F54" i="1" s="1"/>
  <c r="BB51" i="1"/>
  <c r="BA51" i="1" s="1"/>
  <c r="AZ51" i="1"/>
  <c r="AY51" i="1" s="1"/>
  <c r="AV51" i="1"/>
  <c r="AU51" i="1" s="1"/>
  <c r="AR51" i="1"/>
  <c r="AQ51" i="1" s="1"/>
  <c r="AS51" i="1" s="1"/>
  <c r="AO51" i="1"/>
  <c r="AN51" i="1" s="1"/>
  <c r="AP51" i="1" s="1"/>
  <c r="AM51" i="1"/>
  <c r="AL51" i="1" s="1"/>
  <c r="AK51" i="1"/>
  <c r="AJ51" i="1" s="1"/>
  <c r="AF51" i="1"/>
  <c r="AE51" i="1" s="1"/>
  <c r="AI51" i="1" s="1"/>
  <c r="V51" i="1"/>
  <c r="U51" i="1" s="1"/>
  <c r="R51" i="1"/>
  <c r="Q51" i="1" s="1"/>
  <c r="G51" i="1"/>
  <c r="I51" i="1" s="1"/>
  <c r="BB48" i="1"/>
  <c r="BA48" i="1" s="1"/>
  <c r="AZ48" i="1"/>
  <c r="AY48" i="1" s="1"/>
  <c r="AV48" i="1"/>
  <c r="AU48" i="1" s="1"/>
  <c r="AR48" i="1"/>
  <c r="AQ48" i="1" s="1"/>
  <c r="AO48" i="1"/>
  <c r="AN48" i="1" s="1"/>
  <c r="AP48" i="1" s="1"/>
  <c r="AM48" i="1"/>
  <c r="AL48" i="1" s="1"/>
  <c r="AK48" i="1"/>
  <c r="AJ48" i="1" s="1"/>
  <c r="AF48" i="1"/>
  <c r="AE48" i="1" s="1"/>
  <c r="V48" i="1"/>
  <c r="X48" i="1" s="1"/>
  <c r="W48" i="1" s="1"/>
  <c r="R48" i="1"/>
  <c r="Q48" i="1" s="1"/>
  <c r="T48" i="1" s="1"/>
  <c r="G48" i="1"/>
  <c r="F48" i="1" s="1"/>
  <c r="G39" i="1"/>
  <c r="R39" i="1"/>
  <c r="Q39" i="1" s="1"/>
  <c r="AF39" i="1"/>
  <c r="AE39" i="1" s="1"/>
  <c r="AK39" i="1"/>
  <c r="AJ39" i="1" s="1"/>
  <c r="AM39" i="1"/>
  <c r="AL39" i="1" s="1"/>
  <c r="AO39" i="1"/>
  <c r="AN39" i="1" s="1"/>
  <c r="AP39" i="1" s="1"/>
  <c r="AR39" i="1"/>
  <c r="AQ39" i="1" s="1"/>
  <c r="AV39" i="1"/>
  <c r="AU39" i="1" s="1"/>
  <c r="AZ39" i="1"/>
  <c r="AY39" i="1" s="1"/>
  <c r="BB39" i="1"/>
  <c r="BA39" i="1" s="1"/>
  <c r="G40" i="1"/>
  <c r="R40" i="1"/>
  <c r="Q40" i="1" s="1"/>
  <c r="AF40" i="1"/>
  <c r="AE40" i="1" s="1"/>
  <c r="AK40" i="1"/>
  <c r="AJ40" i="1" s="1"/>
  <c r="AM40" i="1"/>
  <c r="AL40" i="1" s="1"/>
  <c r="AO40" i="1"/>
  <c r="AN40" i="1" s="1"/>
  <c r="AP40" i="1" s="1"/>
  <c r="AR40" i="1"/>
  <c r="AQ40" i="1" s="1"/>
  <c r="AS40" i="1" s="1"/>
  <c r="AV40" i="1"/>
  <c r="AU40" i="1" s="1"/>
  <c r="AZ40" i="1"/>
  <c r="AY40" i="1" s="1"/>
  <c r="BB40" i="1"/>
  <c r="BA40" i="1" s="1"/>
  <c r="G41" i="1"/>
  <c r="R41" i="1"/>
  <c r="Q41" i="1" s="1"/>
  <c r="AF41" i="1"/>
  <c r="AE41" i="1" s="1"/>
  <c r="AK41" i="1"/>
  <c r="AJ41" i="1" s="1"/>
  <c r="AM41" i="1"/>
  <c r="AL41" i="1" s="1"/>
  <c r="AO41" i="1"/>
  <c r="AN41" i="1" s="1"/>
  <c r="AP41" i="1" s="1"/>
  <c r="AR41" i="1"/>
  <c r="AQ41" i="1" s="1"/>
  <c r="AV41" i="1"/>
  <c r="AU41" i="1" s="1"/>
  <c r="AZ41" i="1"/>
  <c r="AY41" i="1" s="1"/>
  <c r="BB41" i="1"/>
  <c r="BA41" i="1" s="1"/>
  <c r="G42" i="1"/>
  <c r="I42" i="1" s="1"/>
  <c r="R42" i="1"/>
  <c r="Q42" i="1" s="1"/>
  <c r="AF42" i="1"/>
  <c r="AE42" i="1" s="1"/>
  <c r="AK42" i="1"/>
  <c r="AJ42" i="1" s="1"/>
  <c r="AM42" i="1"/>
  <c r="AL42" i="1" s="1"/>
  <c r="AO42" i="1"/>
  <c r="AN42" i="1" s="1"/>
  <c r="AP42" i="1" s="1"/>
  <c r="AR42" i="1"/>
  <c r="AQ42" i="1" s="1"/>
  <c r="AV42" i="1"/>
  <c r="AU42" i="1" s="1"/>
  <c r="AZ42" i="1"/>
  <c r="AY42" i="1" s="1"/>
  <c r="BB42" i="1"/>
  <c r="BA42" i="1" s="1"/>
  <c r="G43" i="1"/>
  <c r="I43" i="1" s="1"/>
  <c r="R43" i="1"/>
  <c r="Q43" i="1" s="1"/>
  <c r="AF43" i="1"/>
  <c r="AE43" i="1" s="1"/>
  <c r="AK43" i="1"/>
  <c r="AJ43" i="1" s="1"/>
  <c r="AM43" i="1"/>
  <c r="AL43" i="1" s="1"/>
  <c r="AO43" i="1"/>
  <c r="AN43" i="1" s="1"/>
  <c r="AP43" i="1" s="1"/>
  <c r="AR43" i="1"/>
  <c r="AQ43" i="1" s="1"/>
  <c r="AV43" i="1"/>
  <c r="AU43" i="1" s="1"/>
  <c r="AZ43" i="1"/>
  <c r="AY43" i="1" s="1"/>
  <c r="BB43" i="1"/>
  <c r="BA43" i="1" s="1"/>
  <c r="G44" i="1"/>
  <c r="F44" i="1" s="1"/>
  <c r="R44" i="1"/>
  <c r="Q44" i="1" s="1"/>
  <c r="AF44" i="1"/>
  <c r="AE44" i="1" s="1"/>
  <c r="AK44" i="1"/>
  <c r="AJ44" i="1" s="1"/>
  <c r="AM44" i="1"/>
  <c r="AL44" i="1" s="1"/>
  <c r="AO44" i="1"/>
  <c r="AN44" i="1" s="1"/>
  <c r="AP44" i="1" s="1"/>
  <c r="AR44" i="1"/>
  <c r="AQ44" i="1" s="1"/>
  <c r="AV44" i="1"/>
  <c r="AU44" i="1" s="1"/>
  <c r="AZ44" i="1"/>
  <c r="AY44" i="1" s="1"/>
  <c r="BB44" i="1"/>
  <c r="BA44" i="1" s="1"/>
  <c r="V46" i="1"/>
  <c r="X46" i="1" s="1"/>
  <c r="R46" i="1"/>
  <c r="I40" i="1" l="1"/>
  <c r="L40" i="1" s="1"/>
  <c r="F40" i="1"/>
  <c r="I41" i="1"/>
  <c r="L41" i="1" s="1"/>
  <c r="F41" i="1"/>
  <c r="I39" i="1"/>
  <c r="K39" i="1" s="1"/>
  <c r="F39" i="1"/>
  <c r="K42" i="1"/>
  <c r="L42" i="1"/>
  <c r="K40" i="1"/>
  <c r="O56" i="1"/>
  <c r="K56" i="1"/>
  <c r="L56" i="1"/>
  <c r="L46" i="1"/>
  <c r="K46" i="1"/>
  <c r="L64" i="1"/>
  <c r="K64" i="1"/>
  <c r="L43" i="1"/>
  <c r="K43" i="1"/>
  <c r="O51" i="1"/>
  <c r="L51" i="1"/>
  <c r="K51" i="1"/>
  <c r="F51" i="1"/>
  <c r="I44" i="1"/>
  <c r="X57" i="1"/>
  <c r="W57" i="1" s="1"/>
  <c r="AA57" i="1" s="1"/>
  <c r="F64" i="1"/>
  <c r="U66" i="1"/>
  <c r="F56" i="1"/>
  <c r="U61" i="1"/>
  <c r="AS42" i="1"/>
  <c r="AT42" i="1"/>
  <c r="AS39" i="1"/>
  <c r="AT39" i="1"/>
  <c r="AS54" i="1"/>
  <c r="AT54" i="1"/>
  <c r="AS64" i="1"/>
  <c r="AT64" i="1"/>
  <c r="AS44" i="1"/>
  <c r="AT44" i="1"/>
  <c r="AS41" i="1"/>
  <c r="AT41" i="1"/>
  <c r="AS48" i="1"/>
  <c r="AT48" i="1"/>
  <c r="AS43" i="1"/>
  <c r="AT43" i="1"/>
  <c r="M42" i="1"/>
  <c r="O42" i="1"/>
  <c r="P42" i="1"/>
  <c r="J42" i="1"/>
  <c r="N42" i="1"/>
  <c r="H42" i="1"/>
  <c r="I59" i="1"/>
  <c r="AT66" i="1"/>
  <c r="AT61" i="1"/>
  <c r="AT57" i="1"/>
  <c r="AT40" i="1"/>
  <c r="F43" i="1"/>
  <c r="F42" i="1"/>
  <c r="X51" i="1"/>
  <c r="W51" i="1" s="1"/>
  <c r="AA51" i="1" s="1"/>
  <c r="U48" i="1"/>
  <c r="U54" i="1"/>
  <c r="AT59" i="1"/>
  <c r="AT56" i="1"/>
  <c r="AT51" i="1"/>
  <c r="Z66" i="1"/>
  <c r="AD66" i="1"/>
  <c r="AH66" i="1"/>
  <c r="I66" i="1"/>
  <c r="S66" i="1"/>
  <c r="AI66" i="1"/>
  <c r="AA66" i="1"/>
  <c r="AB66" i="1"/>
  <c r="Y66" i="1"/>
  <c r="T64" i="1"/>
  <c r="S64" i="1"/>
  <c r="AG64" i="1"/>
  <c r="AI64" i="1"/>
  <c r="AH64" i="1"/>
  <c r="M64" i="1"/>
  <c r="P64" i="1"/>
  <c r="J64" i="1"/>
  <c r="H64" i="1"/>
  <c r="O64" i="1"/>
  <c r="N64" i="1"/>
  <c r="X64" i="1"/>
  <c r="W64" i="1" s="1"/>
  <c r="S51" i="1"/>
  <c r="T51" i="1"/>
  <c r="S56" i="1"/>
  <c r="T56" i="1"/>
  <c r="AG61" i="1"/>
  <c r="AI61" i="1"/>
  <c r="AH61" i="1"/>
  <c r="AC48" i="1"/>
  <c r="AB48" i="1"/>
  <c r="AA48" i="1"/>
  <c r="AD48" i="1"/>
  <c r="Y48" i="1"/>
  <c r="Z48" i="1"/>
  <c r="AC54" i="1"/>
  <c r="Y54" i="1"/>
  <c r="AB54" i="1"/>
  <c r="AA54" i="1"/>
  <c r="AD54" i="1"/>
  <c r="Z54" i="1"/>
  <c r="AG57" i="1"/>
  <c r="AI57" i="1"/>
  <c r="AH57" i="1"/>
  <c r="AG48" i="1"/>
  <c r="AI48" i="1"/>
  <c r="AH48" i="1"/>
  <c r="AG54" i="1"/>
  <c r="AI54" i="1"/>
  <c r="AH54" i="1"/>
  <c r="S59" i="1"/>
  <c r="T59" i="1"/>
  <c r="AC61" i="1"/>
  <c r="Y61" i="1"/>
  <c r="AB61" i="1"/>
  <c r="AA61" i="1"/>
  <c r="AD61" i="1"/>
  <c r="Z61" i="1"/>
  <c r="J51" i="1"/>
  <c r="J56" i="1"/>
  <c r="P56" i="1"/>
  <c r="X56" i="1"/>
  <c r="W56" i="1" s="1"/>
  <c r="X59" i="1"/>
  <c r="W59" i="1" s="1"/>
  <c r="P51" i="1"/>
  <c r="I48" i="1"/>
  <c r="S48" i="1"/>
  <c r="M51" i="1"/>
  <c r="AG51" i="1"/>
  <c r="I54" i="1"/>
  <c r="S54" i="1"/>
  <c r="M56" i="1"/>
  <c r="AG56" i="1"/>
  <c r="I57" i="1"/>
  <c r="S57" i="1"/>
  <c r="AG59" i="1"/>
  <c r="I61" i="1"/>
  <c r="S61" i="1"/>
  <c r="H51" i="1"/>
  <c r="N51" i="1"/>
  <c r="AH51" i="1"/>
  <c r="H56" i="1"/>
  <c r="N56" i="1"/>
  <c r="AH56" i="1"/>
  <c r="AH59" i="1"/>
  <c r="AA44" i="1"/>
  <c r="AB44" i="1"/>
  <c r="Y44" i="1"/>
  <c r="AC44" i="1"/>
  <c r="Z44" i="1"/>
  <c r="AD44" i="1"/>
  <c r="J43" i="1"/>
  <c r="M43" i="1"/>
  <c r="H43" i="1"/>
  <c r="N43" i="1"/>
  <c r="O43" i="1"/>
  <c r="P43" i="1"/>
  <c r="AI42" i="1"/>
  <c r="AG42" i="1"/>
  <c r="AH42" i="1"/>
  <c r="T41" i="1"/>
  <c r="S41" i="1"/>
  <c r="S40" i="1"/>
  <c r="T40" i="1"/>
  <c r="AG43" i="1"/>
  <c r="AH43" i="1"/>
  <c r="AI43" i="1"/>
  <c r="AD42" i="1"/>
  <c r="AA42" i="1"/>
  <c r="AB42" i="1"/>
  <c r="Y42" i="1"/>
  <c r="AC42" i="1"/>
  <c r="Z42" i="1"/>
  <c r="AH40" i="1"/>
  <c r="AI40" i="1"/>
  <c r="AG40" i="1"/>
  <c r="T39" i="1"/>
  <c r="S39" i="1"/>
  <c r="S44" i="1"/>
  <c r="T44" i="1"/>
  <c r="AG41" i="1"/>
  <c r="AH41" i="1"/>
  <c r="AI41" i="1"/>
  <c r="Z40" i="1"/>
  <c r="AD40" i="1"/>
  <c r="AA40" i="1"/>
  <c r="AB40" i="1"/>
  <c r="Y40" i="1"/>
  <c r="AC40" i="1"/>
  <c r="AH44" i="1"/>
  <c r="AI44" i="1"/>
  <c r="AG44" i="1"/>
  <c r="T43" i="1"/>
  <c r="S43" i="1"/>
  <c r="S42" i="1"/>
  <c r="T42" i="1"/>
  <c r="AG39" i="1"/>
  <c r="AH39" i="1"/>
  <c r="AI39" i="1"/>
  <c r="AB39" i="1"/>
  <c r="Y39" i="1"/>
  <c r="AC39" i="1"/>
  <c r="Z39" i="1"/>
  <c r="AD39" i="1"/>
  <c r="AA39" i="1"/>
  <c r="E61" i="1"/>
  <c r="D61" i="1" s="1"/>
  <c r="E59" i="1"/>
  <c r="D59" i="1" s="1"/>
  <c r="E57" i="1"/>
  <c r="D57" i="1" s="1"/>
  <c r="E56" i="1"/>
  <c r="D56" i="1" s="1"/>
  <c r="E54" i="1"/>
  <c r="D54" i="1" s="1"/>
  <c r="E51" i="1"/>
  <c r="D51" i="1" s="1"/>
  <c r="E48" i="1"/>
  <c r="D48" i="1" s="1"/>
  <c r="E44" i="1"/>
  <c r="D44" i="1" s="1"/>
  <c r="E43" i="1"/>
  <c r="D43" i="1" s="1"/>
  <c r="E42" i="1"/>
  <c r="D42" i="1" s="1"/>
  <c r="E41" i="1"/>
  <c r="D41" i="1" s="1"/>
  <c r="E40" i="1"/>
  <c r="D40" i="1" s="1"/>
  <c r="E39" i="1"/>
  <c r="D39" i="1" s="1"/>
  <c r="BB38" i="1"/>
  <c r="BA38" i="1" s="1"/>
  <c r="AZ38" i="1"/>
  <c r="AV38" i="1"/>
  <c r="AU38" i="1" s="1"/>
  <c r="AR38" i="1"/>
  <c r="AQ38" i="1" s="1"/>
  <c r="AO38" i="1"/>
  <c r="AN38" i="1" s="1"/>
  <c r="AP38" i="1" s="1"/>
  <c r="AM38" i="1"/>
  <c r="AL38" i="1" s="1"/>
  <c r="AK38" i="1"/>
  <c r="AJ38" i="1" s="1"/>
  <c r="AF38" i="1"/>
  <c r="AE38" i="1" s="1"/>
  <c r="R38" i="1"/>
  <c r="Q38" i="1" s="1"/>
  <c r="T38" i="1" s="1"/>
  <c r="G38" i="1"/>
  <c r="W38" i="1"/>
  <c r="AD38" i="1" s="1"/>
  <c r="BA46" i="1"/>
  <c r="AY46" i="1"/>
  <c r="AY38" i="1"/>
  <c r="AU46" i="1"/>
  <c r="AQ46" i="1"/>
  <c r="AN46" i="1"/>
  <c r="AP46" i="1" s="1"/>
  <c r="AL46" i="1"/>
  <c r="AJ46" i="1"/>
  <c r="AE46" i="1"/>
  <c r="W46" i="1"/>
  <c r="Y46" i="1" s="1"/>
  <c r="U46" i="1"/>
  <c r="Q46" i="1"/>
  <c r="S46" i="1" s="1"/>
  <c r="H46" i="1"/>
  <c r="F46"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P12" i="1"/>
  <c r="AP13" i="1"/>
  <c r="AP14" i="1"/>
  <c r="AP15" i="1"/>
  <c r="AP17" i="1"/>
  <c r="AP18" i="1"/>
  <c r="AP19" i="1"/>
  <c r="AP20" i="1"/>
  <c r="AP21" i="1"/>
  <c r="AP22" i="1"/>
  <c r="AP23" i="1"/>
  <c r="AP24" i="1"/>
  <c r="AP25" i="1"/>
  <c r="AP27" i="1"/>
  <c r="AP11" i="1"/>
  <c r="AD25" i="1"/>
  <c r="AM11" i="1"/>
  <c r="Y12" i="1"/>
  <c r="Y13" i="1"/>
  <c r="AA14" i="1"/>
  <c r="AA15" i="1"/>
  <c r="Y17" i="1"/>
  <c r="Y18" i="1"/>
  <c r="AA19" i="1"/>
  <c r="AB20" i="1"/>
  <c r="Z21" i="1"/>
  <c r="AB22" i="1"/>
  <c r="AA23" i="1"/>
  <c r="AB24" i="1"/>
  <c r="AA25" i="1"/>
  <c r="X11" i="1"/>
  <c r="S12" i="1"/>
  <c r="T12" i="1"/>
  <c r="S13" i="1"/>
  <c r="T13" i="1"/>
  <c r="S14" i="1"/>
  <c r="T14" i="1"/>
  <c r="S15" i="1"/>
  <c r="T15" i="1"/>
  <c r="S20" i="1"/>
  <c r="T20" i="1"/>
  <c r="S21" i="1"/>
  <c r="T21" i="1"/>
  <c r="S22" i="1"/>
  <c r="T22" i="1"/>
  <c r="S23" i="1"/>
  <c r="T23" i="1"/>
  <c r="S24" i="1"/>
  <c r="T24" i="1"/>
  <c r="S25" i="1"/>
  <c r="T25" i="1"/>
  <c r="S27" i="1"/>
  <c r="T27" i="1"/>
  <c r="T11" i="1"/>
  <c r="S11" i="1"/>
  <c r="I12" i="1"/>
  <c r="I13" i="1"/>
  <c r="I14" i="1"/>
  <c r="I15" i="1"/>
  <c r="I21" i="1"/>
  <c r="I22" i="1"/>
  <c r="I23" i="1"/>
  <c r="I24" i="1"/>
  <c r="I25" i="1"/>
  <c r="I11" i="1"/>
  <c r="BB25" i="1"/>
  <c r="BB24" i="1"/>
  <c r="BB23" i="1"/>
  <c r="BB22" i="1"/>
  <c r="BB21" i="1"/>
  <c r="BB20" i="1"/>
  <c r="BB18"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F27" i="1"/>
  <c r="AF25" i="1"/>
  <c r="AF24" i="1"/>
  <c r="AF23" i="1"/>
  <c r="AF22" i="1"/>
  <c r="AF21" i="1"/>
  <c r="AF20" i="1"/>
  <c r="AF15" i="1"/>
  <c r="AF14" i="1"/>
  <c r="AF13" i="1"/>
  <c r="AF12" i="1"/>
  <c r="AF11" i="1"/>
  <c r="X27" i="1"/>
  <c r="X25" i="1"/>
  <c r="X22" i="1"/>
  <c r="X21" i="1"/>
  <c r="X18" i="1"/>
  <c r="X17" i="1"/>
  <c r="X14" i="1"/>
  <c r="X13" i="1"/>
  <c r="X12" i="1"/>
  <c r="V27" i="1"/>
  <c r="V24" i="1"/>
  <c r="V23" i="1"/>
  <c r="V22" i="1"/>
  <c r="V21" i="1"/>
  <c r="V20" i="1"/>
  <c r="V19" i="1"/>
  <c r="V18" i="1"/>
  <c r="V17" i="1"/>
  <c r="V15" i="1"/>
  <c r="V14" i="1"/>
  <c r="V13" i="1"/>
  <c r="V12" i="1"/>
  <c r="V11" i="1"/>
  <c r="R27" i="1"/>
  <c r="R25" i="1"/>
  <c r="R24" i="1"/>
  <c r="R23" i="1"/>
  <c r="R22" i="1"/>
  <c r="R21" i="1"/>
  <c r="R20" i="1"/>
  <c r="R15" i="1"/>
  <c r="R14" i="1"/>
  <c r="R13" i="1"/>
  <c r="R12" i="1"/>
  <c r="R11" i="1"/>
  <c r="I27" i="1"/>
  <c r="G12" i="1"/>
  <c r="G13" i="1"/>
  <c r="G14" i="1"/>
  <c r="G15" i="1"/>
  <c r="G21" i="1"/>
  <c r="G22" i="1"/>
  <c r="G23" i="1"/>
  <c r="G24" i="1"/>
  <c r="G25" i="1"/>
  <c r="G27" i="1"/>
  <c r="G11" i="1"/>
  <c r="E66" i="1"/>
  <c r="D66" i="1" s="1"/>
  <c r="E64" i="1"/>
  <c r="D64" i="1" s="1"/>
  <c r="E38" i="1"/>
  <c r="E12" i="1"/>
  <c r="E13" i="1"/>
  <c r="E14" i="1"/>
  <c r="E15" i="1"/>
  <c r="E17" i="1"/>
  <c r="E18" i="1"/>
  <c r="E19" i="1"/>
  <c r="E20" i="1"/>
  <c r="E21" i="1"/>
  <c r="E22" i="1"/>
  <c r="E23" i="1"/>
  <c r="E24" i="1"/>
  <c r="E25" i="1"/>
  <c r="E27" i="1"/>
  <c r="E11" i="1"/>
  <c r="R16" i="1" l="1"/>
  <c r="R17" i="1"/>
  <c r="Q17" i="1" s="1"/>
  <c r="R18" i="1"/>
  <c r="Q18" i="1" s="1"/>
  <c r="R19" i="1"/>
  <c r="Q19" i="1" s="1"/>
  <c r="H39" i="1"/>
  <c r="P40" i="1"/>
  <c r="O39" i="1"/>
  <c r="M39" i="1"/>
  <c r="P39" i="1"/>
  <c r="L39" i="1"/>
  <c r="N39" i="1"/>
  <c r="J39" i="1"/>
  <c r="H40" i="1"/>
  <c r="J40" i="1"/>
  <c r="N40" i="1"/>
  <c r="K41" i="1"/>
  <c r="M40" i="1"/>
  <c r="O40" i="1"/>
  <c r="P41" i="1"/>
  <c r="N41" i="1"/>
  <c r="H41" i="1"/>
  <c r="J41" i="1"/>
  <c r="M41" i="1"/>
  <c r="O41" i="1"/>
  <c r="I38" i="1"/>
  <c r="H38" i="1" s="1"/>
  <c r="F38" i="1"/>
  <c r="K57" i="1"/>
  <c r="L57" i="1"/>
  <c r="K54" i="1"/>
  <c r="L54" i="1"/>
  <c r="K48" i="1"/>
  <c r="L48" i="1"/>
  <c r="K66" i="1"/>
  <c r="L66" i="1"/>
  <c r="M44" i="1"/>
  <c r="K44" i="1"/>
  <c r="L44" i="1"/>
  <c r="K61" i="1"/>
  <c r="L61" i="1"/>
  <c r="O59" i="1"/>
  <c r="K59" i="1"/>
  <c r="L59" i="1"/>
  <c r="K11" i="1"/>
  <c r="L11" i="1"/>
  <c r="K15" i="1"/>
  <c r="L15" i="1"/>
  <c r="K25" i="1"/>
  <c r="L25" i="1"/>
  <c r="K21" i="1"/>
  <c r="L21" i="1"/>
  <c r="K14" i="1"/>
  <c r="L14" i="1"/>
  <c r="K13" i="1"/>
  <c r="L13" i="1"/>
  <c r="K22" i="1"/>
  <c r="L22" i="1"/>
  <c r="K24" i="1"/>
  <c r="L24" i="1"/>
  <c r="K27" i="1"/>
  <c r="L27" i="1"/>
  <c r="K23" i="1"/>
  <c r="L23" i="1"/>
  <c r="K12" i="1"/>
  <c r="L12" i="1"/>
  <c r="H44" i="1"/>
  <c r="N44" i="1"/>
  <c r="O44" i="1"/>
  <c r="AR19" i="1"/>
  <c r="AR18" i="1"/>
  <c r="AR17" i="1"/>
  <c r="AF19" i="1"/>
  <c r="AF18" i="1"/>
  <c r="AF17" i="1"/>
  <c r="Y21" i="1"/>
  <c r="AB17" i="1"/>
  <c r="P44" i="1"/>
  <c r="J44" i="1"/>
  <c r="AB57" i="1"/>
  <c r="Z57" i="1"/>
  <c r="Y57" i="1"/>
  <c r="AD57" i="1"/>
  <c r="AC57" i="1"/>
  <c r="Y51" i="1"/>
  <c r="AD51" i="1"/>
  <c r="AB51" i="1"/>
  <c r="Z51" i="1"/>
  <c r="AC51" i="1"/>
  <c r="X23" i="1"/>
  <c r="AC25" i="1"/>
  <c r="AA17" i="1"/>
  <c r="X19" i="1"/>
  <c r="AC21" i="1"/>
  <c r="AA12" i="1"/>
  <c r="AD24" i="1"/>
  <c r="X15" i="1"/>
  <c r="X20" i="1"/>
  <c r="X24" i="1"/>
  <c r="Y24" i="1"/>
  <c r="AD20" i="1"/>
  <c r="Y15" i="1"/>
  <c r="N59" i="1"/>
  <c r="P59" i="1"/>
  <c r="Y20" i="1"/>
  <c r="AC15" i="1"/>
  <c r="AA24" i="1"/>
  <c r="Z15" i="1"/>
  <c r="Y25" i="1"/>
  <c r="AD21" i="1"/>
  <c r="Z20" i="1"/>
  <c r="AD15" i="1"/>
  <c r="AB12" i="1"/>
  <c r="H59" i="1"/>
  <c r="M59" i="1"/>
  <c r="J59" i="1"/>
  <c r="AT38" i="1"/>
  <c r="AS38" i="1"/>
  <c r="AC11" i="1"/>
  <c r="AB25" i="1"/>
  <c r="AC24" i="1"/>
  <c r="AD23" i="1"/>
  <c r="Y23" i="1"/>
  <c r="Z22" i="1"/>
  <c r="AB21" i="1"/>
  <c r="AC20" i="1"/>
  <c r="AD19" i="1"/>
  <c r="Z19" i="1"/>
  <c r="AB18" i="1"/>
  <c r="AD17" i="1"/>
  <c r="Z17" i="1"/>
  <c r="AB15" i="1"/>
  <c r="AD14" i="1"/>
  <c r="Z14" i="1"/>
  <c r="AB13" i="1"/>
  <c r="AD12" i="1"/>
  <c r="Z12" i="1"/>
  <c r="Y11" i="1"/>
  <c r="AB11" i="1"/>
  <c r="AC23" i="1"/>
  <c r="AD22" i="1"/>
  <c r="Y22" i="1"/>
  <c r="AC19" i="1"/>
  <c r="Y19" i="1"/>
  <c r="AA18" i="1"/>
  <c r="AC17" i="1"/>
  <c r="AC14" i="1"/>
  <c r="Y14" i="1"/>
  <c r="AA13" i="1"/>
  <c r="AC12" i="1"/>
  <c r="AS46" i="1"/>
  <c r="AT46" i="1"/>
  <c r="AA11" i="1"/>
  <c r="AB23" i="1"/>
  <c r="AC22" i="1"/>
  <c r="AB19" i="1"/>
  <c r="AD18" i="1"/>
  <c r="Z18" i="1"/>
  <c r="AB14" i="1"/>
  <c r="AD13" i="1"/>
  <c r="Z13" i="1"/>
  <c r="AD11" i="1"/>
  <c r="Z11" i="1"/>
  <c r="AC18" i="1"/>
  <c r="AC13" i="1"/>
  <c r="M66" i="1"/>
  <c r="P66" i="1"/>
  <c r="J66" i="1"/>
  <c r="O66" i="1"/>
  <c r="N66" i="1"/>
  <c r="H66" i="1"/>
  <c r="AC64" i="1"/>
  <c r="Y64" i="1"/>
  <c r="AD64" i="1"/>
  <c r="AB64" i="1"/>
  <c r="AA64" i="1"/>
  <c r="Z64" i="1"/>
  <c r="M48" i="1"/>
  <c r="P48" i="1"/>
  <c r="J48" i="1"/>
  <c r="O48" i="1"/>
  <c r="H48" i="1"/>
  <c r="N48" i="1"/>
  <c r="AA56" i="1"/>
  <c r="AD56" i="1"/>
  <c r="Z56" i="1"/>
  <c r="AC56" i="1"/>
  <c r="Y56" i="1"/>
  <c r="AB56" i="1"/>
  <c r="M61" i="1"/>
  <c r="P61" i="1"/>
  <c r="J61" i="1"/>
  <c r="O61" i="1"/>
  <c r="N61" i="1"/>
  <c r="H61" i="1"/>
  <c r="M57" i="1"/>
  <c r="P57" i="1"/>
  <c r="J57" i="1"/>
  <c r="O57" i="1"/>
  <c r="N57" i="1"/>
  <c r="H57" i="1"/>
  <c r="M54" i="1"/>
  <c r="P54" i="1"/>
  <c r="J54" i="1"/>
  <c r="O54" i="1"/>
  <c r="H54" i="1"/>
  <c r="N54" i="1"/>
  <c r="AA59" i="1"/>
  <c r="AD59" i="1"/>
  <c r="Z59" i="1"/>
  <c r="AC59" i="1"/>
  <c r="Y59" i="1"/>
  <c r="AB59" i="1"/>
  <c r="AB41" i="1"/>
  <c r="Y41" i="1"/>
  <c r="AC41" i="1"/>
  <c r="Z41" i="1"/>
  <c r="AD41" i="1"/>
  <c r="AA41" i="1"/>
  <c r="Y43" i="1"/>
  <c r="AC43" i="1"/>
  <c r="AD43" i="1"/>
  <c r="Z43" i="1"/>
  <c r="AA43" i="1"/>
  <c r="AB43" i="1"/>
  <c r="AB46" i="1"/>
  <c r="AA46" i="1"/>
  <c r="AD46" i="1"/>
  <c r="Z46" i="1"/>
  <c r="AC46" i="1"/>
  <c r="T46" i="1"/>
  <c r="AA38" i="1"/>
  <c r="AB38" i="1"/>
  <c r="Y38" i="1"/>
  <c r="AC38" i="1"/>
  <c r="Z38" i="1"/>
  <c r="S38" i="1"/>
  <c r="L38" i="1" l="1"/>
  <c r="K38" i="1"/>
  <c r="AS18" i="1"/>
  <c r="AT17" i="1"/>
  <c r="AS17" i="1"/>
  <c r="AT18" i="1"/>
  <c r="AT19" i="1"/>
  <c r="AS19" i="1"/>
  <c r="V33" i="1"/>
  <c r="T33" i="1"/>
  <c r="S33" i="1"/>
  <c r="R33" i="1"/>
  <c r="V32" i="1"/>
  <c r="T32" i="1"/>
  <c r="S32" i="1"/>
  <c r="R32" i="1"/>
  <c r="T31" i="1"/>
  <c r="S31" i="1"/>
  <c r="T30" i="1"/>
  <c r="S30" i="1"/>
  <c r="T29" i="1"/>
  <c r="S29" i="1"/>
  <c r="T28" i="1"/>
  <c r="S28" i="1"/>
  <c r="AI38" i="1" l="1"/>
  <c r="AG38" i="1"/>
  <c r="AH38" i="1"/>
  <c r="P38" i="1"/>
  <c r="O38" i="1"/>
  <c r="N38" i="1"/>
  <c r="M38" i="1"/>
  <c r="J38" i="1"/>
  <c r="D38" i="1"/>
  <c r="J46" i="1" l="1"/>
  <c r="M46" i="1"/>
  <c r="N46" i="1"/>
  <c r="O46" i="1"/>
  <c r="P46" i="1"/>
  <c r="J12" i="1"/>
  <c r="O13" i="1"/>
  <c r="N14" i="1"/>
  <c r="N15" i="1"/>
  <c r="N21" i="1"/>
  <c r="O22" i="1"/>
  <c r="O23" i="1"/>
  <c r="N24" i="1"/>
  <c r="O25" i="1"/>
  <c r="N27" i="1"/>
  <c r="J11" i="1"/>
  <c r="M27" i="1" l="1"/>
  <c r="P27" i="1"/>
  <c r="J27" i="1"/>
  <c r="O27" i="1"/>
  <c r="N25" i="1"/>
  <c r="M25" i="1"/>
  <c r="P25" i="1"/>
  <c r="J25" i="1"/>
  <c r="M24" i="1"/>
  <c r="P24" i="1"/>
  <c r="J24" i="1"/>
  <c r="O24" i="1"/>
  <c r="N23" i="1"/>
  <c r="M23" i="1"/>
  <c r="P23" i="1"/>
  <c r="J23" i="1"/>
  <c r="N22" i="1"/>
  <c r="M22" i="1"/>
  <c r="P22" i="1"/>
  <c r="J22" i="1"/>
  <c r="M21" i="1"/>
  <c r="P21" i="1"/>
  <c r="J21" i="1"/>
  <c r="O21" i="1"/>
  <c r="M15" i="1"/>
  <c r="P15" i="1"/>
  <c r="J15" i="1"/>
  <c r="O15" i="1"/>
  <c r="M14" i="1"/>
  <c r="P14" i="1"/>
  <c r="J14" i="1"/>
  <c r="O14" i="1"/>
  <c r="M13" i="1"/>
  <c r="N13" i="1"/>
  <c r="P13" i="1"/>
  <c r="J13" i="1"/>
  <c r="M12" i="1"/>
  <c r="O12" i="1"/>
  <c r="N12" i="1"/>
  <c r="P12" i="1"/>
  <c r="O11" i="1"/>
  <c r="N11" i="1"/>
  <c r="M11" i="1"/>
  <c r="P11" i="1"/>
  <c r="AH46" i="1" l="1"/>
  <c r="AH11" i="1"/>
  <c r="AH12" i="1"/>
  <c r="AH13" i="1"/>
  <c r="AH14" i="1"/>
  <c r="AH15" i="1"/>
  <c r="AH17" i="1"/>
  <c r="AH18" i="1"/>
  <c r="AH19" i="1"/>
  <c r="AH20" i="1"/>
  <c r="AH21" i="1"/>
  <c r="AH22" i="1"/>
  <c r="AH23" i="1"/>
  <c r="AH24" i="1"/>
  <c r="AH25" i="1"/>
  <c r="AH27" i="1"/>
  <c r="AG24" i="1" l="1"/>
  <c r="AI24" i="1"/>
  <c r="AG23" i="1"/>
  <c r="AI23" i="1"/>
  <c r="AG21" i="1"/>
  <c r="AI21" i="1"/>
  <c r="AG20" i="1"/>
  <c r="AI20" i="1"/>
  <c r="AG25" i="1"/>
  <c r="AI25" i="1"/>
  <c r="AG19" i="1"/>
  <c r="AI19" i="1"/>
  <c r="AG17" i="1"/>
  <c r="AI17" i="1"/>
  <c r="AI22" i="1"/>
  <c r="AG22" i="1"/>
  <c r="AG27" i="1"/>
  <c r="AI27" i="1"/>
  <c r="AI18" i="1"/>
  <c r="AG18" i="1"/>
  <c r="AG46" i="1"/>
  <c r="AI46" i="1"/>
  <c r="AG12" i="1"/>
  <c r="AI12" i="1"/>
  <c r="AG13" i="1"/>
  <c r="AI13" i="1"/>
  <c r="AG14" i="1"/>
  <c r="AI14" i="1"/>
  <c r="AG15" i="1"/>
  <c r="AI15" i="1"/>
  <c r="AI11" i="1"/>
  <c r="AG11" i="1"/>
  <c r="D25" i="1"/>
  <c r="D23" i="1"/>
  <c r="D21" i="1"/>
  <c r="D20" i="1"/>
  <c r="D19" i="1"/>
  <c r="D18" i="1"/>
  <c r="D17" i="1"/>
  <c r="D14" i="1"/>
  <c r="D13" i="1"/>
  <c r="D12" i="1"/>
  <c r="D11" i="1"/>
  <c r="D15" i="1"/>
  <c r="D22" i="1"/>
  <c r="D24" i="1"/>
  <c r="D27" i="1"/>
  <c r="D46" i="1" l="1"/>
  <c r="G18" i="1" l="1"/>
  <c r="I18" i="1"/>
  <c r="G19" i="1"/>
  <c r="I19" i="1"/>
  <c r="J19" i="1" s="1"/>
  <c r="G20" i="1"/>
  <c r="I20" i="1"/>
  <c r="G17" i="1"/>
  <c r="I17" i="1"/>
  <c r="J17" i="1" s="1"/>
  <c r="N20" i="1" l="1"/>
  <c r="L20" i="1"/>
  <c r="P20" i="1"/>
  <c r="M20" i="1"/>
  <c r="O20" i="1"/>
  <c r="J20" i="1"/>
  <c r="K20" i="1"/>
  <c r="N18" i="1"/>
  <c r="M18" i="1"/>
  <c r="O18" i="1"/>
  <c r="P18" i="1"/>
  <c r="J18" i="1"/>
  <c r="L18" i="1"/>
  <c r="K18" i="1"/>
  <c r="N17" i="1"/>
  <c r="N19" i="1"/>
  <c r="M19" i="1"/>
  <c r="O17" i="1"/>
  <c r="O19" i="1"/>
  <c r="P17" i="1"/>
  <c r="P19" i="1"/>
  <c r="M17" i="1"/>
  <c r="K17" i="1"/>
  <c r="L17" i="1"/>
  <c r="K19" i="1"/>
  <c r="L19" i="1"/>
  <c r="T18" i="1" l="1"/>
  <c r="S19" i="1"/>
  <c r="S17" i="1"/>
  <c r="Q16" i="1"/>
  <c r="T16" i="1" s="1"/>
  <c r="T17" i="1" l="1"/>
  <c r="S18" i="1"/>
  <c r="T19" i="1"/>
  <c r="S16" i="1"/>
  <c r="I16" i="1" l="1"/>
  <c r="P16" i="1" s="1"/>
  <c r="F16" i="1"/>
  <c r="G16" i="1" s="1"/>
  <c r="K16" i="1" l="1"/>
  <c r="J16" i="1"/>
  <c r="O16" i="1"/>
  <c r="N16" i="1"/>
  <c r="M16" i="1"/>
  <c r="L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2939C115-7DBA-4B53-B5B3-2AF48243F58F}">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<sst xmlns="http://schemas.openxmlformats.org/spreadsheetml/2006/main" count="327" uniqueCount="210">
  <si>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</si>
  <si>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</si>
  <si>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</si>
  <si>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</si>
  <si>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</si>
  <si>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</si>
  <si>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</si>
  <si>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</si>
  <si>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</si>
  <si>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</si>
  <si>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</si>
  <si>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</si>
  <si>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</si>
  <si>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</si>
  <si>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</si>
  <si>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</si>
  <si>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</si>
  <si>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</si>
  <si>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</si>
  <si>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</si>
  <si>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0147</t>
  </si>
  <si>
    <t>0173</t>
  </si>
  <si>
    <t>Hospital Consultation</t>
  </si>
  <si>
    <t>0174</t>
  </si>
  <si>
    <t>0175</t>
  </si>
  <si>
    <t>0190</t>
  </si>
  <si>
    <t>Consultation</t>
  </si>
  <si>
    <t>0191</t>
  </si>
  <si>
    <t>0192</t>
  </si>
  <si>
    <t>0199</t>
  </si>
  <si>
    <t>Chronic Medicine Forms</t>
  </si>
  <si>
    <t>Disclaimer:</t>
  </si>
  <si>
    <t>See the Notes below for All Tariffs</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</si>
  <si>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</si>
  <si>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</si>
  <si>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</si>
  <si>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</si>
  <si>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</si>
  <si>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</si>
  <si>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</si>
  <si>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</si>
  <si>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</si>
  <si>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</si>
  <si>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</si>
  <si>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</si>
  <si>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</si>
  <si>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</si>
  <si>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</si>
  <si>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</si>
  <si>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</si>
  <si>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</si>
  <si>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</si>
  <si>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</si>
  <si>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</si>
  <si>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</si>
  <si>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</si>
  <si>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1204</t>
  </si>
  <si>
    <t>Intensive care: Category 1 (High Care)</t>
  </si>
  <si>
    <t>1205</t>
  </si>
  <si>
    <t>Intensive care: Category 2 (ICU): Cases requiring active system support  First day</t>
  </si>
  <si>
    <t>1206</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</si>
  <si>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</si>
  <si>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</si>
  <si>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</si>
  <si>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</si>
  <si>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</si>
  <si>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</si>
  <si>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</si>
  <si>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</si>
  <si>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</si>
  <si>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99238</t>
  </si>
  <si>
    <t>Hospital discharge day Management; 30 Minutes or Less</t>
  </si>
  <si>
    <t>99239</t>
  </si>
  <si>
    <t>Hospital discharge day Management; more than 30 Minutes</t>
  </si>
  <si>
    <t>HealthMan</t>
  </si>
  <si>
    <t>BankMed</t>
  </si>
  <si>
    <t>Bonitas</t>
  </si>
  <si>
    <t>Discovery</t>
  </si>
  <si>
    <t>FedHealth</t>
  </si>
  <si>
    <t>GEMS</t>
  </si>
  <si>
    <t>KeyHealth</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</si>
  <si>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</si>
  <si>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</si>
  <si>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</si>
  <si>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</si>
  <si>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</si>
  <si>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</si>
  <si>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</si>
  <si>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</si>
  <si>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</si>
  <si>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</si>
  <si>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</si>
  <si>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</si>
  <si>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</si>
  <si>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</si>
  <si>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</si>
  <si>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</si>
  <si>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</si>
  <si>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</si>
  <si>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</si>
  <si>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</si>
  <si>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</si>
  <si>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</si>
  <si>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</si>
  <si>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</si>
  <si>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</si>
  <si>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</si>
  <si>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</si>
  <si>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</si>
  <si>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</si>
  <si>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</si>
  <si>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</si>
  <si>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</si>
  <si>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</si>
  <si>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</si>
  <si>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</si>
  <si>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</si>
  <si>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</si>
  <si>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</si>
  <si>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</si>
  <si>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</si>
  <si>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</si>
  <si>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</si>
  <si>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</si>
  <si>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</si>
  <si>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</si>
  <si>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</si>
  <si>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</si>
  <si>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</si>
  <si>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</si>
  <si>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</si>
  <si>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</si>
  <si>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</si>
  <si>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</si>
  <si>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</si>
  <si>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</si>
  <si>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</si>
  <si>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</si>
  <si>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</si>
  <si>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</si>
  <si>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</si>
  <si>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</si>
  <si>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</si>
  <si>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</si>
  <si>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</si>
  <si>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</si>
  <si>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</si>
  <si>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</si>
  <si>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</si>
  <si>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</si>
  <si>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</si>
  <si>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</si>
  <si>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</si>
  <si>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</si>
  <si>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</si>
  <si>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</si>
  <si>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</si>
  <si>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</si>
  <si>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0206</t>
  </si>
  <si>
    <t>Intravenous treatment: Intravenous infusions (push-in) : Insertion of cannula - chargeable once per 24-hours</t>
  </si>
  <si>
    <t>Professional component for a physician interpreting an ECG: Without effort</t>
  </si>
  <si>
    <t>Injection and/or ligation of oesophageal varices (endoscopy inclusive)</t>
  </si>
  <si>
    <t>Advanced oesophageal function assessment (impedance or provocative test or high definition 3D rendering)</t>
  </si>
  <si>
    <t>Ambulatory oesophageal or gastric pH or bile or impedance studies: Interpretation</t>
  </si>
  <si>
    <t>Plus polypectomy: ADD to gastro-intestinal endoscopy (item 1587) or small bowel endoscopy (item 1626) as appropriate; per lesion</t>
  </si>
  <si>
    <t xml:space="preserve">Endoscopic control of gastro-intestinal haemorrhage from upper gastro-intestinal tract,intestine/large bowel,by injection ligation/appl of energy devices </t>
  </si>
  <si>
    <t>Gastrointestinal tract imaging, intraluminal (e.g. video capsule endoscopy), oesophagus through ileum: Doctor interpretation and report</t>
  </si>
  <si>
    <t>Left-sided colonoscopy</t>
  </si>
  <si>
    <t>Balloon dilatation of common bile duct strictures</t>
  </si>
  <si>
    <t>Endoscopic Sphincterotomy: ADD to ERCP (item 1778)</t>
  </si>
  <si>
    <t>Biopsy of pancreas</t>
  </si>
  <si>
    <t>Ultrasound examination includes whole abdomen and pelvic organs, where pelvic organs are clinically indicated (including liver, gall bladder, spleen etc)</t>
  </si>
  <si>
    <t>Plus (+) colour doppler (may be added onto any other regional exam, but not to be added to items 3605, 5110, 5111, 5112, 5113 or 5114)</t>
  </si>
  <si>
    <t>Intra-operative ultrasound study</t>
  </si>
  <si>
    <t>Infusional pharmacotherapy: Item to be used for the treatment of non cancerous conditions with bolus or infusional pharmacotherapy per treatment day</t>
  </si>
  <si>
    <t>3622</t>
  </si>
  <si>
    <t>3627</t>
  </si>
  <si>
    <t>1235</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</si>
  <si>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</si>
  <si>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</si>
  <si>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</si>
  <si>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</si>
  <si>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</si>
  <si>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</si>
  <si>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</si>
  <si>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</si>
  <si>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</si>
  <si>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</si>
  <si>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</si>
  <si>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</si>
  <si>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</si>
  <si>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</si>
  <si>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</si>
  <si>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</si>
  <si>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</si>
  <si>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</si>
  <si>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</si>
  <si>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</si>
  <si>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</si>
  <si>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</si>
  <si>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</si>
  <si>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</si>
  <si>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</si>
  <si>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</si>
  <si>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CAMAF</t>
  </si>
  <si>
    <t>HEALTHMAN GASTROENTEROLOGY COSTING GUIDE 2024</t>
  </si>
  <si>
    <t xml:space="preserve">    Please note that many of the descriptors are shortened versions.  For the full descriptors please refer to the most recent SAMA eMDCM.</t>
  </si>
  <si>
    <t xml:space="preserve">4. The HealthMan Rate increased by 6.5%(equal to our current assessment of medical inflation). </t>
  </si>
  <si>
    <t>5.3 The Network rate increased with 6% and 5.4% compared to the Non-Network that increased only 5%.    </t>
  </si>
  <si>
    <t xml:space="preserve">12. Please note the most recent SAMA eMDCM is available at www.samedical.org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</si>
</sst>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i/>
      <u/>
      <sz val="10"/>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5">
    <xf numFmtId="0" fontId="0" fillId="0" borderId="0" xfId="0"/>
    <xf numFmtId="0" fontId="2" fillId="3" borderId="2" xfId="0" applyFont="1" applyFill="1" applyBorder="1" applyProtection="1">
      <protection hidden="1"/>
    </xf>
    <xf numFmtId="0" fontId="2" fillId="3" borderId="3" xfId="0" applyFont="1" applyFill="1" applyBorder="1" applyProtection="1">
      <protection hidden="1"/>
    </xf>
    <xf numFmtId="0" fontId="2" fillId="3" borderId="9" xfId="0" applyFont="1" applyFill="1" applyBorder="1" applyProtection="1">
      <protection hidden="1"/>
    </xf>
    <xf numFmtId="0" fontId="3" fillId="2" borderId="0" xfId="0" applyFont="1" applyFill="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0" fontId="3" fillId="6" borderId="19" xfId="0"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Protection="1">
      <protection hidden="1"/>
    </xf>
    <xf numFmtId="0" fontId="3" fillId="2" borderId="0" xfId="0" applyFont="1" applyFill="1" applyAlignment="1" applyProtection="1">
      <alignment horizontal="left" wrapText="1"/>
      <protection hidden="1"/>
    </xf>
    <xf numFmtId="164" fontId="18" fillId="4" borderId="0" xfId="1" applyFont="1" applyFill="1" applyBorder="1" applyAlignment="1" applyProtection="1">
      <alignment wrapText="1"/>
      <protection hidden="1"/>
    </xf>
    <xf numFmtId="164" fontId="5" fillId="5" borderId="1" xfId="1" applyFont="1" applyFill="1" applyBorder="1" applyAlignment="1" applyProtection="1">
      <alignment wrapText="1"/>
      <protection hidden="1"/>
    </xf>
    <xf numFmtId="164" fontId="19" fillId="2" borderId="24" xfId="1" applyFont="1" applyFill="1" applyBorder="1" applyProtection="1">
      <protection hidden="1"/>
    </xf>
    <xf numFmtId="0" fontId="20" fillId="2" borderId="0" xfId="0" applyFont="1" applyFill="1" applyProtection="1">
      <protection hidden="1"/>
    </xf>
    <xf numFmtId="165" fontId="5" fillId="0" borderId="20" xfId="1" applyNumberFormat="1" applyFont="1" applyFill="1" applyBorder="1" applyProtection="1">
      <protection hidden="1"/>
    </xf>
    <xf numFmtId="164" fontId="2" fillId="3" borderId="3" xfId="1" applyFont="1" applyFill="1" applyBorder="1" applyAlignment="1" applyProtection="1">
      <protection hidden="1"/>
    </xf>
    <xf numFmtId="164" fontId="5"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5" fillId="2" borderId="17" xfId="0" applyFont="1" applyFill="1" applyBorder="1" applyAlignment="1" applyProtection="1">
      <alignment wrapText="1"/>
      <protection hidden="1"/>
    </xf>
    <xf numFmtId="0" fontId="5" fillId="2" borderId="0" xfId="0" applyFont="1" applyFill="1" applyProtection="1">
      <protection hidden="1"/>
    </xf>
    <xf numFmtId="49" fontId="5" fillId="0" borderId="7" xfId="0" applyNumberFormat="1" applyFont="1" applyBorder="1" applyProtection="1">
      <protection hidden="1"/>
    </xf>
    <xf numFmtId="0" fontId="5" fillId="0" borderId="17" xfId="0" applyFont="1" applyBorder="1" applyAlignment="1" applyProtection="1">
      <alignment wrapText="1"/>
      <protection hidden="1"/>
    </xf>
    <xf numFmtId="0" fontId="5" fillId="0" borderId="20" xfId="1" applyNumberFormat="1" applyFont="1" applyFill="1" applyBorder="1" applyProtection="1">
      <protection hidden="1"/>
    </xf>
    <xf numFmtId="49" fontId="22" fillId="2" borderId="22" xfId="0" applyNumberFormat="1" applyFont="1" applyFill="1" applyBorder="1" applyProtection="1">
      <protection hidden="1"/>
    </xf>
    <xf numFmtId="0" fontId="22" fillId="2" borderId="23" xfId="0" applyFont="1" applyFill="1" applyBorder="1" applyAlignment="1" applyProtection="1">
      <alignment wrapText="1"/>
      <protection hidden="1"/>
    </xf>
    <xf numFmtId="164" fontId="22" fillId="2" borderId="24"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5" fontId="22" fillId="2" borderId="24" xfId="1" applyNumberFormat="1" applyFont="1" applyFill="1" applyBorder="1" applyProtection="1">
      <protection hidden="1"/>
    </xf>
    <xf numFmtId="0" fontId="23" fillId="2" borderId="0" xfId="0" applyFont="1" applyFill="1" applyProtection="1">
      <protection hidden="1"/>
    </xf>
    <xf numFmtId="0" fontId="6" fillId="3" borderId="5"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7" fillId="4" borderId="25" xfId="1" applyFont="1" applyFill="1" applyBorder="1" applyAlignment="1" applyProtection="1">
      <alignment horizontal="center" wrapText="1"/>
      <protection hidden="1"/>
    </xf>
    <xf numFmtId="165" fontId="7" fillId="4" borderId="25" xfId="1" applyNumberFormat="1" applyFont="1" applyFill="1" applyBorder="1" applyAlignment="1" applyProtection="1">
      <alignment horizontal="center" wrapText="1"/>
      <protection hidden="1"/>
    </xf>
    <xf numFmtId="0" fontId="24" fillId="2" borderId="0" xfId="0" applyFont="1" applyFill="1" applyProtection="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4" fontId="19" fillId="6" borderId="24" xfId="1" applyFont="1" applyFill="1" applyBorder="1" applyProtection="1">
      <protection hidden="1"/>
    </xf>
    <xf numFmtId="164" fontId="19" fillId="6" borderId="24" xfId="1" applyFont="1" applyFill="1" applyBorder="1" applyAlignment="1" applyProtection="1">
      <alignment horizontal="center"/>
      <protection hidden="1"/>
    </xf>
    <xf numFmtId="165" fontId="19" fillId="2" borderId="24" xfId="1" applyNumberFormat="1" applyFont="1" applyFill="1" applyBorder="1" applyProtection="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0" fontId="18" fillId="2" borderId="10" xfId="0" applyFont="1" applyFill="1" applyBorder="1" applyAlignment="1" applyProtection="1">
      <alignment wrapText="1"/>
      <protection hidden="1"/>
    </xf>
    <xf numFmtId="0" fontId="18" fillId="2" borderId="4" xfId="0" applyFont="1" applyFill="1" applyBorder="1" applyAlignment="1" applyProtection="1">
      <alignment horizontal="left"/>
      <protection hidden="1"/>
    </xf>
    <xf numFmtId="164" fontId="31" fillId="2" borderId="0" xfId="1" applyFont="1" applyFill="1" applyBorder="1" applyAlignment="1" applyProtection="1">
      <alignment wrapText="1"/>
      <protection hidden="1"/>
    </xf>
    <xf numFmtId="165" fontId="31" fillId="2" borderId="0" xfId="1" applyNumberFormat="1" applyFont="1" applyFill="1" applyBorder="1" applyAlignment="1" applyProtection="1">
      <alignment wrapText="1"/>
      <protection hidden="1"/>
    </xf>
    <xf numFmtId="165" fontId="31" fillId="2" borderId="10" xfId="1" applyNumberFormat="1" applyFont="1" applyFill="1" applyBorder="1" applyAlignment="1" applyProtection="1">
      <alignment wrapText="1"/>
      <protection hidden="1"/>
    </xf>
    <xf numFmtId="165" fontId="18"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5" fontId="3" fillId="2" borderId="5"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Protection="1">
      <protection hidden="1"/>
    </xf>
    <xf numFmtId="0" fontId="6" fillId="3" borderId="5" xfId="0" applyFont="1" applyFill="1" applyBorder="1" applyProtection="1">
      <protection hidden="1"/>
    </xf>
    <xf numFmtId="164" fontId="6" fillId="3" borderId="5" xfId="1" applyFont="1" applyFill="1" applyBorder="1" applyAlignment="1" applyProtection="1">
      <protection hidden="1"/>
    </xf>
    <xf numFmtId="165" fontId="6" fillId="3" borderId="5" xfId="1" applyNumberFormat="1" applyFont="1" applyFill="1" applyBorder="1" applyAlignment="1" applyProtection="1">
      <protection hidden="1"/>
    </xf>
    <xf numFmtId="0" fontId="6" fillId="3" borderId="15" xfId="0" applyFont="1" applyFill="1" applyBorder="1" applyProtection="1">
      <protection hidden="1"/>
    </xf>
    <xf numFmtId="164" fontId="32" fillId="0" borderId="20" xfId="1" applyFont="1" applyFill="1" applyBorder="1" applyProtection="1">
      <protection hidden="1"/>
    </xf>
    <xf numFmtId="0" fontId="7" fillId="4" borderId="25" xfId="1" applyNumberFormat="1" applyFont="1" applyFill="1" applyBorder="1" applyAlignment="1" applyProtection="1">
      <alignment horizontal="center" wrapText="1"/>
      <protection hidden="1"/>
    </xf>
    <xf numFmtId="49" fontId="5" fillId="2" borderId="26" xfId="0" applyNumberFormat="1" applyFont="1" applyFill="1" applyBorder="1" applyAlignment="1" applyProtection="1">
      <alignment horizontal="center"/>
      <protection hidden="1"/>
    </xf>
    <xf numFmtId="0" fontId="8" fillId="2" borderId="27" xfId="0" applyFont="1" applyFill="1" applyBorder="1" applyAlignment="1" applyProtection="1">
      <alignment horizontal="left" wrapText="1"/>
      <protection hidden="1"/>
    </xf>
    <xf numFmtId="0" fontId="3" fillId="2" borderId="28" xfId="0" applyFont="1" applyFill="1" applyBorder="1" applyProtection="1">
      <protection hidden="1"/>
    </xf>
    <xf numFmtId="164" fontId="3" fillId="2" borderId="28" xfId="1" applyFont="1" applyFill="1" applyBorder="1" applyProtection="1">
      <protection hidden="1"/>
    </xf>
    <xf numFmtId="165" fontId="3" fillId="2" borderId="28" xfId="1" applyNumberFormat="1" applyFont="1" applyFill="1" applyBorder="1" applyProtection="1">
      <protection hidden="1"/>
    </xf>
    <xf numFmtId="0" fontId="3" fillId="6"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4" fontId="3" fillId="6" borderId="28" xfId="1" applyFont="1" applyFill="1" applyBorder="1" applyProtection="1">
      <protection hidden="1"/>
    </xf>
    <xf numFmtId="0" fontId="8" fillId="3" borderId="14" xfId="0" applyFont="1" applyFill="1" applyBorder="1" applyProtection="1">
      <protection hidden="1"/>
    </xf>
    <xf numFmtId="0" fontId="8" fillId="3" borderId="5" xfId="0" applyFont="1" applyFill="1" applyBorder="1" applyProtection="1">
      <protection hidden="1"/>
    </xf>
    <xf numFmtId="164" fontId="8" fillId="3" borderId="5" xfId="1" applyFont="1" applyFill="1" applyBorder="1" applyAlignment="1" applyProtection="1">
      <protection hidden="1"/>
    </xf>
    <xf numFmtId="165" fontId="8" fillId="3" borderId="5" xfId="1" applyNumberFormat="1" applyFont="1" applyFill="1" applyBorder="1" applyAlignment="1" applyProtection="1">
      <protection hidden="1"/>
    </xf>
    <xf numFmtId="0" fontId="8" fillId="3" borderId="15" xfId="0" applyFont="1" applyFill="1" applyBorder="1" applyProtection="1">
      <protection hidden="1"/>
    </xf>
    <xf numFmtId="0" fontId="8" fillId="3" borderId="2" xfId="0" applyFont="1" applyFill="1" applyBorder="1" applyProtection="1">
      <protection hidden="1"/>
    </xf>
    <xf numFmtId="0" fontId="8" fillId="3" borderId="3" xfId="0" applyFont="1" applyFill="1" applyBorder="1" applyProtection="1">
      <protection hidden="1"/>
    </xf>
    <xf numFmtId="164" fontId="8" fillId="3" borderId="3" xfId="1" applyFont="1" applyFill="1" applyBorder="1" applyAlignment="1" applyProtection="1">
      <protection hidden="1"/>
    </xf>
    <xf numFmtId="165" fontId="8" fillId="3" borderId="3" xfId="1" applyNumberFormat="1" applyFont="1" applyFill="1" applyBorder="1" applyAlignment="1" applyProtection="1">
      <protection hidden="1"/>
    </xf>
    <xf numFmtId="0" fontId="8" fillId="3" borderId="9" xfId="0" applyFont="1" applyFill="1" applyBorder="1" applyProtection="1">
      <protection hidden="1"/>
    </xf>
    <xf numFmtId="0" fontId="21" fillId="7" borderId="1" xfId="0" applyFont="1" applyFill="1" applyBorder="1" applyProtection="1">
      <protection hidden="1"/>
    </xf>
    <xf numFmtId="0" fontId="21"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1"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164" fontId="32" fillId="2" borderId="20" xfId="1" applyFont="1" applyFill="1" applyBorder="1" applyProtection="1">
      <protection hidden="1"/>
    </xf>
    <xf numFmtId="0" fontId="21" fillId="8" borderId="1" xfId="0" applyFont="1" applyFill="1" applyBorder="1" applyProtection="1">
      <protection hidden="1"/>
    </xf>
    <xf numFmtId="0" fontId="21"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1" fillId="8" borderId="0" xfId="0" applyFont="1" applyFill="1" applyProtection="1">
      <protection hidden="1"/>
    </xf>
    <xf numFmtId="0" fontId="21"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1" fillId="0" borderId="0" xfId="0" applyFont="1" applyProtection="1">
      <protection hidden="1"/>
    </xf>
    <xf numFmtId="0" fontId="21" fillId="0" borderId="0" xfId="0" applyFont="1" applyAlignment="1" applyProtection="1">
      <alignment wrapText="1"/>
      <protection hidden="1"/>
    </xf>
    <xf numFmtId="0" fontId="25" fillId="0" borderId="0" xfId="0" applyFont="1" applyProtection="1">
      <protection hidden="1"/>
    </xf>
    <xf numFmtId="0" fontId="21" fillId="0" borderId="1" xfId="0" applyFont="1" applyBorder="1" applyProtection="1">
      <protection hidden="1"/>
    </xf>
    <xf numFmtId="0" fontId="21" fillId="0" borderId="1" xfId="0" applyFont="1" applyBorder="1" applyAlignment="1" applyProtection="1">
      <alignment horizontal="center"/>
      <protection hidden="1"/>
    </xf>
    <xf numFmtId="0" fontId="21"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3"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1"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38" fillId="2" borderId="7" xfId="0" applyNumberFormat="1" applyFont="1" applyFill="1" applyBorder="1" applyProtection="1">
      <protection hidden="1"/>
    </xf>
    <xf numFmtId="0" fontId="38" fillId="2" borderId="17" xfId="0" applyFont="1" applyFill="1" applyBorder="1" applyAlignment="1" applyProtection="1">
      <alignment horizontal="left" wrapText="1"/>
      <protection hidden="1"/>
    </xf>
    <xf numFmtId="0" fontId="38" fillId="2" borderId="20" xfId="1" applyNumberFormat="1" applyFont="1" applyFill="1" applyBorder="1" applyProtection="1">
      <protection hidden="1"/>
    </xf>
    <xf numFmtId="164" fontId="38" fillId="2" borderId="20" xfId="1" applyFont="1" applyFill="1" applyBorder="1" applyProtection="1">
      <protection hidden="1"/>
    </xf>
    <xf numFmtId="165" fontId="38" fillId="0" borderId="20" xfId="1" applyNumberFormat="1" applyFont="1" applyFill="1" applyBorder="1" applyProtection="1">
      <protection hidden="1"/>
    </xf>
    <xf numFmtId="164" fontId="38" fillId="0" borderId="20" xfId="1" applyFont="1" applyFill="1" applyBorder="1" applyProtection="1">
      <protection hidden="1"/>
    </xf>
    <xf numFmtId="165" fontId="38" fillId="2" borderId="20" xfId="1" applyNumberFormat="1" applyFont="1" applyFill="1" applyBorder="1" applyProtection="1">
      <protection hidden="1"/>
    </xf>
    <xf numFmtId="164" fontId="38" fillId="6" borderId="20" xfId="1" applyFont="1" applyFill="1" applyBorder="1" applyProtection="1">
      <protection hidden="1"/>
    </xf>
    <xf numFmtId="0" fontId="39" fillId="2" borderId="0" xfId="0" applyFont="1" applyFill="1" applyProtection="1">
      <protection hidden="1"/>
    </xf>
    <xf numFmtId="0" fontId="15" fillId="2" borderId="11" xfId="0" applyFont="1" applyFill="1" applyBorder="1" applyProtection="1">
      <protection hidden="1"/>
    </xf>
    <xf numFmtId="0" fontId="18" fillId="2" borderId="4" xfId="0" applyFont="1" applyFill="1" applyBorder="1" applyProtection="1">
      <protection hidden="1"/>
    </xf>
    <xf numFmtId="0" fontId="18" fillId="2" borderId="0" xfId="0" applyFont="1" applyFill="1" applyProtection="1">
      <protection hidden="1"/>
    </xf>
    <xf numFmtId="0" fontId="18" fillId="2" borderId="0" xfId="0" applyFont="1" applyFill="1" applyAlignment="1" applyProtection="1">
      <alignment wrapText="1"/>
      <protection hidden="1"/>
    </xf>
    <xf numFmtId="0" fontId="18"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4" fillId="2" borderId="4" xfId="0" applyFont="1" applyFill="1" applyBorder="1" applyProtection="1">
      <protection hidden="1"/>
    </xf>
    <xf numFmtId="0" fontId="16" fillId="2" borderId="4" xfId="0" applyFont="1" applyFill="1" applyBorder="1" applyProtection="1">
      <protection hidden="1"/>
    </xf>
    <xf numFmtId="0" fontId="17" fillId="2" borderId="0" xfId="0" applyFont="1" applyFill="1" applyAlignment="1" applyProtection="1">
      <alignment wrapText="1"/>
      <protection hidden="1"/>
    </xf>
    <xf numFmtId="0" fontId="29" fillId="2" borderId="4" xfId="0" applyFont="1" applyFill="1" applyBorder="1" applyProtection="1">
      <protection hidden="1"/>
    </xf>
    <xf numFmtId="0" fontId="35" fillId="2" borderId="4" xfId="0" applyFont="1" applyFill="1" applyBorder="1" applyProtection="1">
      <protection hidden="1"/>
    </xf>
    <xf numFmtId="0" fontId="31" fillId="2" borderId="0" xfId="0" applyFont="1" applyFill="1" applyAlignment="1" applyProtection="1">
      <alignment wrapText="1"/>
      <protection hidden="1"/>
    </xf>
    <xf numFmtId="0" fontId="30" fillId="2" borderId="4" xfId="0" applyFont="1" applyFill="1" applyBorder="1" applyProtection="1">
      <protection hidden="1"/>
    </xf>
    <xf numFmtId="0" fontId="18" fillId="4" borderId="4" xfId="0" applyFont="1" applyFill="1" applyBorder="1" applyProtection="1">
      <protection hidden="1"/>
    </xf>
    <xf numFmtId="0" fontId="18" fillId="4" borderId="0" xfId="0" applyFont="1" applyFill="1" applyAlignment="1" applyProtection="1">
      <alignment wrapText="1"/>
      <protection hidden="1"/>
    </xf>
    <xf numFmtId="164" fontId="18" fillId="4" borderId="0" xfId="0" applyNumberFormat="1" applyFont="1" applyFill="1" applyAlignment="1" applyProtection="1">
      <alignment wrapText="1"/>
      <protection hidden="1"/>
    </xf>
    <xf numFmtId="166" fontId="25" fillId="0" borderId="1" xfId="1" applyNumberFormat="1" applyFont="1" applyBorder="1" applyAlignment="1" applyProtection="1">
      <alignment horizontal="center"/>
      <protection hidden="1"/>
    </xf>
    <xf numFmtId="0" fontId="40" fillId="2" borderId="4" xfId="0" applyFont="1" applyFill="1" applyBorder="1" applyProtection="1">
      <protection hidden="1"/>
    </xf>
    <xf numFmtId="0" fontId="41" fillId="0" borderId="0" xfId="0" applyFont="1"/>
    <xf numFmtId="0" fontId="42" fillId="2" borderId="0" xfId="0" applyFont="1" applyFill="1"/>
    <xf numFmtId="0" fontId="41" fillId="2" borderId="0" xfId="0" applyFont="1" applyFill="1" applyAlignment="1">
      <alignment vertical="center"/>
    </xf>
    <xf numFmtId="0" fontId="42" fillId="0" borderId="0" xfId="0" applyFont="1"/>
    <xf numFmtId="0" fontId="43" fillId="0" borderId="0" xfId="0" applyFont="1"/>
    <xf numFmtId="0" fontId="31" fillId="2" borderId="0" xfId="0" applyFont="1" applyFill="1" applyProtection="1">
      <protection hidden="1"/>
    </xf>
    <xf numFmtId="0" fontId="42" fillId="0" borderId="0" xfId="0" applyFont="1" applyAlignment="1">
      <alignment vertical="center"/>
    </xf>
    <xf numFmtId="0" fontId="44" fillId="2" borderId="4" xfId="0" applyFont="1" applyFill="1" applyBorder="1" applyProtection="1">
      <protection hidden="1"/>
    </xf>
    <xf numFmtId="0" fontId="45" fillId="2" borderId="0" xfId="0" applyFont="1" applyFill="1" applyAlignment="1" applyProtection="1">
      <alignment wrapText="1"/>
      <protection hidden="1"/>
    </xf>
    <xf numFmtId="164" fontId="45" fillId="2" borderId="0" xfId="1" applyFont="1" applyFill="1" applyBorder="1" applyAlignment="1" applyProtection="1">
      <alignment wrapText="1"/>
      <protection hidden="1"/>
    </xf>
    <xf numFmtId="165" fontId="45" fillId="2" borderId="0" xfId="1" applyNumberFormat="1" applyFont="1" applyFill="1" applyBorder="1" applyAlignment="1" applyProtection="1">
      <alignment wrapText="1"/>
      <protection hidden="1"/>
    </xf>
    <xf numFmtId="165" fontId="45" fillId="2" borderId="10" xfId="1" applyNumberFormat="1" applyFont="1" applyFill="1" applyBorder="1" applyAlignment="1" applyProtection="1">
      <alignment wrapText="1"/>
      <protection hidden="1"/>
    </xf>
    <xf numFmtId="0" fontId="45" fillId="2" borderId="0" xfId="0" applyFont="1" applyFill="1" applyProtection="1">
      <protection hidden="1"/>
    </xf>
    <xf numFmtId="0" fontId="46" fillId="2" borderId="4" xfId="0" applyFont="1" applyFill="1" applyBorder="1" applyProtection="1">
      <protection hidden="1"/>
    </xf>
    <xf numFmtId="0" fontId="17" fillId="2" borderId="0" xfId="0" applyFont="1" applyFill="1" applyProtection="1">
      <protection hidden="1"/>
    </xf>
    <xf numFmtId="49" fontId="47" fillId="10" borderId="4" xfId="0" applyNumberFormat="1" applyFont="1" applyFill="1" applyBorder="1" applyProtection="1">
      <protection hidden="1"/>
    </xf>
    <xf numFmtId="0" fontId="48" fillId="10" borderId="0" xfId="0" applyFont="1" applyFill="1" applyProtection="1">
      <protection hidden="1"/>
    </xf>
    <xf numFmtId="165" fontId="48" fillId="10" borderId="0" xfId="1" applyNumberFormat="1" applyFont="1" applyFill="1" applyBorder="1" applyProtection="1">
      <protection hidden="1"/>
    </xf>
    <xf numFmtId="164" fontId="48" fillId="10" borderId="0" xfId="1" applyFont="1" applyFill="1" applyBorder="1" applyProtection="1">
      <protection hidden="1"/>
    </xf>
    <xf numFmtId="165" fontId="47" fillId="10" borderId="0" xfId="1" applyNumberFormat="1" applyFont="1" applyFill="1" applyBorder="1" applyProtection="1">
      <protection hidden="1"/>
    </xf>
    <xf numFmtId="167" fontId="48" fillId="10" borderId="0" xfId="0" applyNumberFormat="1" applyFont="1" applyFill="1" applyProtection="1">
      <protection hidden="1"/>
    </xf>
    <xf numFmtId="165" fontId="48" fillId="10" borderId="0" xfId="0" applyNumberFormat="1" applyFont="1" applyFill="1" applyProtection="1">
      <protection hidden="1"/>
    </xf>
    <xf numFmtId="164" fontId="47" fillId="10" borderId="0" xfId="1" applyFont="1" applyFill="1" applyBorder="1" applyProtection="1">
      <protection hidden="1"/>
    </xf>
    <xf numFmtId="165" fontId="47" fillId="10" borderId="10" xfId="1" applyNumberFormat="1" applyFont="1" applyFill="1" applyBorder="1" applyProtection="1">
      <protection hidden="1"/>
    </xf>
    <xf numFmtId="166" fontId="25" fillId="7" borderId="1" xfId="1" applyNumberFormat="1" applyFont="1" applyFill="1" applyBorder="1" applyAlignment="1" applyProtection="1">
      <alignment horizontal="center"/>
      <protection hidden="1"/>
    </xf>
    <xf numFmtId="166" fontId="25" fillId="0" borderId="1" xfId="1" applyNumberFormat="1" applyFont="1" applyFill="1" applyBorder="1" applyAlignment="1" applyProtection="1">
      <alignment horizontal="center"/>
      <protection hidden="1"/>
    </xf>
    <xf numFmtId="164" fontId="18" fillId="2" borderId="0" xfId="1" applyFont="1" applyFill="1" applyAlignment="1" applyProtection="1">
      <alignment wrapText="1"/>
      <protection hidden="1"/>
    </xf>
    <xf numFmtId="164" fontId="18" fillId="4" borderId="0" xfId="1" applyFont="1" applyFill="1" applyAlignment="1" applyProtection="1">
      <alignment wrapText="1"/>
      <protection hidden="1"/>
    </xf>
    <xf numFmtId="0" fontId="49" fillId="9" borderId="11" xfId="0" applyFont="1" applyFill="1" applyBorder="1" applyProtection="1">
      <protection hidden="1"/>
    </xf>
    <xf numFmtId="0" fontId="48" fillId="9" borderId="12" xfId="0" applyFont="1" applyFill="1" applyBorder="1" applyAlignment="1" applyProtection="1">
      <alignment wrapText="1"/>
      <protection hidden="1"/>
    </xf>
    <xf numFmtId="0" fontId="48" fillId="9" borderId="12" xfId="1" applyNumberFormat="1" applyFont="1" applyFill="1" applyBorder="1" applyAlignment="1" applyProtection="1">
      <alignment wrapText="1"/>
      <protection hidden="1"/>
    </xf>
    <xf numFmtId="164" fontId="48" fillId="9" borderId="12" xfId="1" applyFont="1" applyFill="1" applyBorder="1" applyAlignment="1" applyProtection="1">
      <alignment wrapText="1"/>
      <protection hidden="1"/>
    </xf>
    <xf numFmtId="165" fontId="48" fillId="9" borderId="12" xfId="1" applyNumberFormat="1" applyFont="1" applyFill="1" applyBorder="1" applyAlignment="1" applyProtection="1">
      <alignment wrapText="1"/>
      <protection hidden="1"/>
    </xf>
    <xf numFmtId="165" fontId="48" fillId="9" borderId="13" xfId="1" applyNumberFormat="1" applyFont="1" applyFill="1" applyBorder="1" applyAlignment="1" applyProtection="1">
      <alignment wrapText="1"/>
      <protection hidden="1"/>
    </xf>
    <xf numFmtId="0" fontId="50" fillId="9" borderId="4" xfId="0" applyFont="1" applyFill="1" applyBorder="1" applyProtection="1">
      <protection hidden="1"/>
    </xf>
    <xf numFmtId="0" fontId="50" fillId="9" borderId="0" xfId="0" applyFont="1" applyFill="1" applyAlignment="1" applyProtection="1">
      <alignment wrapText="1"/>
      <protection hidden="1"/>
    </xf>
    <xf numFmtId="164" fontId="50" fillId="9" borderId="0" xfId="1" applyFont="1" applyFill="1" applyBorder="1" applyAlignment="1" applyProtection="1">
      <alignment wrapText="1"/>
      <protection hidden="1"/>
    </xf>
    <xf numFmtId="164" fontId="50" fillId="9" borderId="0" xfId="0" applyNumberFormat="1" applyFont="1" applyFill="1" applyAlignment="1" applyProtection="1">
      <alignment wrapText="1"/>
      <protection hidden="1"/>
    </xf>
    <xf numFmtId="164" fontId="50" fillId="9" borderId="0" xfId="1" applyFont="1" applyFill="1" applyAlignment="1" applyProtection="1">
      <alignment wrapText="1"/>
      <protection hidden="1"/>
    </xf>
    <xf numFmtId="165" fontId="50" fillId="9" borderId="0" xfId="1" applyNumberFormat="1" applyFont="1" applyFill="1" applyBorder="1" applyAlignment="1" applyProtection="1">
      <alignment wrapText="1"/>
      <protection hidden="1"/>
    </xf>
    <xf numFmtId="0" fontId="50" fillId="9" borderId="10" xfId="0" applyFont="1" applyFill="1" applyBorder="1" applyAlignment="1" applyProtection="1">
      <alignment wrapText="1"/>
      <protection hidden="1"/>
    </xf>
    <xf numFmtId="0" fontId="48" fillId="9" borderId="4" xfId="0" applyFont="1" applyFill="1" applyBorder="1" applyProtection="1">
      <protection hidden="1"/>
    </xf>
    <xf numFmtId="0" fontId="48" fillId="9" borderId="0" xfId="0" applyFont="1" applyFill="1" applyAlignment="1" applyProtection="1">
      <alignment wrapText="1"/>
      <protection hidden="1"/>
    </xf>
    <xf numFmtId="0" fontId="48" fillId="9" borderId="0" xfId="1" applyNumberFormat="1" applyFont="1" applyFill="1" applyBorder="1" applyAlignment="1" applyProtection="1">
      <alignment wrapText="1"/>
      <protection hidden="1"/>
    </xf>
    <xf numFmtId="164" fontId="48" fillId="9" borderId="0" xfId="1" applyFont="1" applyFill="1" applyBorder="1" applyAlignment="1" applyProtection="1">
      <alignment wrapText="1"/>
      <protection hidden="1"/>
    </xf>
    <xf numFmtId="165" fontId="48" fillId="9" borderId="0" xfId="1" applyNumberFormat="1" applyFont="1" applyFill="1" applyBorder="1" applyAlignment="1" applyProtection="1">
      <alignment wrapText="1"/>
      <protection hidden="1"/>
    </xf>
    <xf numFmtId="165" fontId="48" fillId="9" borderId="10" xfId="1" applyNumberFormat="1" applyFont="1" applyFill="1" applyBorder="1" applyAlignment="1" applyProtection="1">
      <alignment wrapText="1"/>
      <protection hidden="1"/>
    </xf>
    <xf numFmtId="165" fontId="33" fillId="11" borderId="1" xfId="1" applyNumberFormat="1" applyFont="1" applyFill="1" applyBorder="1" applyAlignment="1" applyProtection="1">
      <alignment wrapText="1"/>
      <protection hidden="1"/>
    </xf>
    <xf numFmtId="165" fontId="51" fillId="11" borderId="1" xfId="1" applyNumberFormat="1" applyFont="1" applyFill="1" applyBorder="1" applyAlignment="1" applyProtection="1">
      <alignment horizontal="center"/>
      <protection hidden="1"/>
    </xf>
    <xf numFmtId="0" fontId="33" fillId="10" borderId="1" xfId="0" applyFont="1" applyFill="1" applyBorder="1" applyProtection="1">
      <protection hidden="1"/>
    </xf>
    <xf numFmtId="0" fontId="33" fillId="10" borderId="1" xfId="0" applyFont="1" applyFill="1" applyBorder="1" applyAlignment="1" applyProtection="1">
      <alignment horizontal="center"/>
      <protection hidden="1"/>
    </xf>
    <xf numFmtId="0" fontId="33" fillId="10" borderId="1" xfId="0" quotePrefix="1" applyFont="1" applyFill="1" applyBorder="1" applyAlignment="1" applyProtection="1">
      <alignment horizontal="center"/>
      <protection hidden="1"/>
    </xf>
    <xf numFmtId="165" fontId="33" fillId="10" borderId="1" xfId="1" applyNumberFormat="1" applyFont="1" applyFill="1" applyBorder="1" applyAlignment="1" applyProtection="1">
      <alignment horizontal="center" wrapText="1"/>
      <protection hidden="1"/>
    </xf>
    <xf numFmtId="165" fontId="33" fillId="10" borderId="1" xfId="1" applyNumberFormat="1" applyFont="1" applyFill="1" applyBorder="1" applyAlignment="1" applyProtection="1">
      <alignment horizontal="center"/>
      <protection hidden="1"/>
    </xf>
    <xf numFmtId="0" fontId="33" fillId="10" borderId="1" xfId="0" applyFont="1" applyFill="1" applyBorder="1" applyAlignment="1" applyProtection="1">
      <alignment wrapText="1"/>
      <protection hidden="1"/>
    </xf>
    <xf numFmtId="0" fontId="33" fillId="10" borderId="1" xfId="0" applyFont="1" applyFill="1" applyBorder="1" applyAlignment="1" applyProtection="1">
      <alignment horizontal="center" wrapText="1"/>
      <protection hidden="1"/>
    </xf>
    <xf numFmtId="0" fontId="33" fillId="10" borderId="1" xfId="0" quotePrefix="1" applyFont="1" applyFill="1" applyBorder="1" applyAlignment="1" applyProtection="1">
      <alignment horizontal="center" wrapText="1"/>
      <protection hidden="1"/>
    </xf>
    <xf numFmtId="165" fontId="33" fillId="10" borderId="1" xfId="1" applyNumberFormat="1" applyFont="1" applyFill="1" applyBorder="1" applyAlignment="1" applyProtection="1">
      <alignment wrapText="1"/>
      <protection hidden="1"/>
    </xf>
    <xf numFmtId="165" fontId="33" fillId="10" borderId="1" xfId="1" applyNumberFormat="1" applyFont="1" applyFill="1" applyBorder="1" applyProtection="1">
      <protection hidden="1"/>
    </xf>
    <xf numFmtId="164" fontId="5" fillId="0" borderId="0" xfId="1" applyFont="1" applyFill="1" applyBorder="1" applyProtection="1">
      <protection hidden="1"/>
    </xf>
    <xf numFmtId="0" fontId="6" fillId="0" borderId="14"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5"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9" xfId="0" applyFont="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6"/>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83" bestFit="1" customWidth="1"/>
    <col min="2" max="2" width="65.42578125" style="84" bestFit="1" customWidth="1"/>
    <col min="3" max="3" width="12"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3.7109375" style="6" customWidth="1"/>
    <col min="15" max="16" width="11.28515625" style="6" customWidth="1"/>
    <col min="17" max="17" width="10" style="7" bestFit="1" customWidth="1"/>
    <col min="18" max="18" width="7.7109375" style="8" bestFit="1" customWidth="1"/>
    <col min="19" max="20" width="11.28515625" style="6" customWidth="1"/>
    <col min="21" max="21" width="10" style="7" bestFit="1" customWidth="1"/>
    <col min="22" max="22" width="9.7109375" style="8" customWidth="1"/>
    <col min="23" max="23" width="10" style="7" bestFit="1" customWidth="1"/>
    <col min="24" max="24" width="9.85546875" style="8" customWidth="1"/>
    <col min="25" max="26" width="9.28515625" style="4" bestFit="1" customWidth="1"/>
    <col min="27" max="27" width="11.140625" style="4" bestFit="1" customWidth="1"/>
    <col min="28" max="29" width="9.28515625" style="4" bestFit="1" customWidth="1"/>
    <col min="30" max="30" width="9.7109375" style="4" bestFit="1" customWidth="1"/>
    <col min="31" max="31" width="10" style="5" bestFit="1" customWidth="1"/>
    <col min="32" max="32" width="10.28515625" style="6" bestFit="1" customWidth="1"/>
    <col min="33" max="34" width="9.28515625" style="6" bestFit="1" customWidth="1"/>
    <col min="35" max="35" width="9.85546875" style="6" hidden="1" customWidth="1"/>
    <col min="36" max="36" width="11.28515625" style="5" customWidth="1"/>
    <col min="37" max="37" width="10.7109375" style="6" customWidth="1"/>
    <col min="38" max="38" width="11.5703125" style="5" customWidth="1"/>
    <col min="39" max="39" width="10.85546875" style="6" customWidth="1"/>
    <col min="40" max="40" width="10" style="5" bestFit="1" customWidth="1"/>
    <col min="41" max="41" width="7.7109375" style="6" bestFit="1" customWidth="1"/>
    <col min="42" max="42" width="9.85546875" style="6" bestFit="1" customWidth="1"/>
    <col min="43" max="43" width="11.140625" style="5" customWidth="1"/>
    <col min="44" max="44" width="7.7109375" style="6" bestFit="1" customWidth="1"/>
    <col min="45" max="46" width="9.85546875" style="6" bestFit="1" customWidth="1"/>
    <col min="47" max="47" width="10" style="5" bestFit="1" customWidth="1"/>
    <col min="48" max="48" width="8.85546875" style="6" customWidth="1"/>
    <col min="49" max="49" width="10.28515625" style="5" bestFit="1" customWidth="1"/>
    <col min="50" max="50" width="8.85546875" style="6" customWidth="1"/>
    <col min="51" max="51" width="10" style="5" hidden="1" customWidth="1"/>
    <col min="52" max="52" width="10.28515625" style="6" hidden="1" customWidth="1"/>
    <col min="53" max="54" width="11.28515625" style="6" bestFit="1" customWidth="1"/>
    <col min="55" max="16384" width="9.140625" style="4"/>
  </cols>
  <sheetData>
    <row r="1" spans="1:58" ht="23.25" x14ac:dyDescent="0.35">
      <c r="A1" s="1" t="s">
        <v>205</v>
      </c>
      <c r="B1" s="2"/>
      <c r="C1" s="2"/>
      <c r="D1" s="2"/>
      <c r="E1" s="2"/>
      <c r="F1" s="90"/>
      <c r="G1" s="2"/>
      <c r="H1" s="90"/>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90"/>
      <c r="AX1" s="2"/>
      <c r="AY1" s="2"/>
      <c r="AZ1" s="2"/>
      <c r="BA1" s="2"/>
      <c r="BB1" s="3"/>
    </row>
    <row r="2" spans="1:58" x14ac:dyDescent="0.2">
      <c r="A2" s="126"/>
      <c r="B2" s="127"/>
      <c r="C2" s="128"/>
      <c r="D2" s="129"/>
      <c r="E2" s="130"/>
      <c r="F2" s="129"/>
      <c r="G2" s="130"/>
      <c r="H2" s="129"/>
      <c r="I2" s="130"/>
      <c r="J2" s="130"/>
      <c r="K2" s="130"/>
      <c r="L2" s="130"/>
      <c r="M2" s="130"/>
      <c r="N2" s="130"/>
      <c r="O2" s="130"/>
      <c r="P2" s="130"/>
      <c r="Q2" s="129"/>
      <c r="R2" s="130"/>
      <c r="S2" s="130"/>
      <c r="T2" s="130"/>
      <c r="U2" s="129"/>
      <c r="V2" s="130"/>
      <c r="W2" s="129"/>
      <c r="X2" s="130"/>
      <c r="Y2" s="129"/>
      <c r="Z2" s="129"/>
      <c r="AA2" s="129"/>
      <c r="AB2" s="129"/>
      <c r="AC2" s="129"/>
      <c r="AD2" s="129"/>
      <c r="AE2" s="129"/>
      <c r="AF2" s="130"/>
      <c r="AG2" s="130"/>
      <c r="AH2" s="130"/>
      <c r="AI2" s="130"/>
      <c r="AJ2" s="129"/>
      <c r="AK2" s="130"/>
      <c r="AL2" s="129"/>
      <c r="AM2" s="130"/>
      <c r="AN2" s="129"/>
      <c r="AO2" s="130"/>
      <c r="AP2" s="130"/>
      <c r="AQ2" s="129"/>
      <c r="AR2" s="130"/>
      <c r="AS2" s="130"/>
      <c r="AT2" s="130"/>
      <c r="AU2" s="129"/>
      <c r="AV2" s="130"/>
      <c r="AW2" s="129"/>
      <c r="AX2" s="130"/>
      <c r="AY2" s="129"/>
      <c r="AZ2" s="130"/>
      <c r="BA2" s="130"/>
      <c r="BB2" s="131"/>
    </row>
    <row r="3" spans="1:58" ht="15.75" x14ac:dyDescent="0.25">
      <c r="A3" s="132" t="s">
        <v>55</v>
      </c>
      <c r="B3" s="133"/>
      <c r="C3" s="133"/>
      <c r="D3" s="133"/>
      <c r="E3" s="133"/>
      <c r="F3" s="134"/>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c r="AO3" s="133"/>
      <c r="AP3" s="133"/>
      <c r="AQ3" s="134"/>
      <c r="AR3" s="133"/>
      <c r="AS3" s="133"/>
      <c r="AT3" s="133"/>
      <c r="AU3" s="134"/>
      <c r="AV3" s="133"/>
      <c r="AW3" s="134"/>
      <c r="AX3" s="133"/>
      <c r="AY3" s="134"/>
      <c r="AZ3" s="135"/>
      <c r="BA3" s="133"/>
      <c r="BB3" s="136"/>
    </row>
    <row r="4" spans="1:58" ht="15.75" x14ac:dyDescent="0.25">
      <c r="A4" s="92"/>
      <c r="B4" s="93"/>
      <c r="C4" s="106"/>
      <c r="D4" s="284" t="s">
        <v>74</v>
      </c>
      <c r="E4" s="286"/>
      <c r="F4" s="292" t="s">
        <v>75</v>
      </c>
      <c r="G4" s="293"/>
      <c r="H4" s="293"/>
      <c r="I4" s="293"/>
      <c r="J4" s="293"/>
      <c r="K4" s="293"/>
      <c r="L4" s="293"/>
      <c r="M4" s="293"/>
      <c r="N4" s="293"/>
      <c r="O4" s="293"/>
      <c r="P4" s="294"/>
      <c r="Q4" s="284" t="s">
        <v>76</v>
      </c>
      <c r="R4" s="285"/>
      <c r="S4" s="285"/>
      <c r="T4" s="286"/>
      <c r="U4" s="284" t="s">
        <v>77</v>
      </c>
      <c r="V4" s="285"/>
      <c r="W4" s="285"/>
      <c r="X4" s="285"/>
      <c r="Y4" s="285"/>
      <c r="Z4" s="285"/>
      <c r="AA4" s="285"/>
      <c r="AB4" s="285"/>
      <c r="AC4" s="285"/>
      <c r="AD4" s="286"/>
      <c r="AE4" s="284" t="s">
        <v>78</v>
      </c>
      <c r="AF4" s="285"/>
      <c r="AG4" s="285"/>
      <c r="AH4" s="285"/>
      <c r="AI4" s="286"/>
      <c r="AJ4" s="284" t="s">
        <v>79</v>
      </c>
      <c r="AK4" s="285"/>
      <c r="AL4" s="285"/>
      <c r="AM4" s="286"/>
      <c r="AN4" s="284" t="s">
        <v>80</v>
      </c>
      <c r="AO4" s="285"/>
      <c r="AP4" s="286"/>
      <c r="AQ4" s="287" t="s">
        <v>81</v>
      </c>
      <c r="AR4" s="288"/>
      <c r="AS4" s="288"/>
      <c r="AT4" s="288"/>
      <c r="AU4" s="289" t="s">
        <v>82</v>
      </c>
      <c r="AV4" s="290"/>
      <c r="AW4" s="290"/>
      <c r="AX4" s="290"/>
      <c r="AY4" s="290"/>
      <c r="AZ4" s="290"/>
      <c r="BA4" s="290"/>
      <c r="BB4" s="291"/>
    </row>
    <row r="5" spans="1:58" ht="84" customHeight="1" x14ac:dyDescent="0.2">
      <c r="A5" s="9" t="s">
        <v>0</v>
      </c>
      <c r="B5" s="10" t="s">
        <v>1</v>
      </c>
      <c r="C5" s="107" t="s">
        <v>2</v>
      </c>
      <c r="D5" s="11" t="s">
        <v>197</v>
      </c>
      <c r="E5" s="12" t="s">
        <v>83</v>
      </c>
      <c r="F5" s="11" t="s">
        <v>84</v>
      </c>
      <c r="G5" s="11" t="s">
        <v>85</v>
      </c>
      <c r="H5" s="11" t="s">
        <v>194</v>
      </c>
      <c r="I5" s="11" t="s">
        <v>195</v>
      </c>
      <c r="J5" s="12" t="s">
        <v>87</v>
      </c>
      <c r="K5" s="12" t="s">
        <v>87</v>
      </c>
      <c r="L5" s="12" t="s">
        <v>87</v>
      </c>
      <c r="M5" s="12" t="s">
        <v>87</v>
      </c>
      <c r="N5" s="12" t="s">
        <v>87</v>
      </c>
      <c r="O5" s="12" t="s">
        <v>87</v>
      </c>
      <c r="P5" s="12" t="s">
        <v>87</v>
      </c>
      <c r="Q5" s="11" t="s">
        <v>86</v>
      </c>
      <c r="R5" s="12" t="s">
        <v>83</v>
      </c>
      <c r="S5" s="12" t="s">
        <v>87</v>
      </c>
      <c r="T5" s="12" t="s">
        <v>87</v>
      </c>
      <c r="U5" s="11" t="s">
        <v>84</v>
      </c>
      <c r="V5" s="12" t="s">
        <v>85</v>
      </c>
      <c r="W5" s="11" t="s">
        <v>194</v>
      </c>
      <c r="X5" s="11" t="s">
        <v>195</v>
      </c>
      <c r="Y5" s="108" t="s">
        <v>88</v>
      </c>
      <c r="Z5" s="108" t="s">
        <v>89</v>
      </c>
      <c r="AA5" s="108" t="s">
        <v>90</v>
      </c>
      <c r="AB5" s="108" t="s">
        <v>91</v>
      </c>
      <c r="AC5" s="108" t="s">
        <v>92</v>
      </c>
      <c r="AD5" s="108" t="s">
        <v>93</v>
      </c>
      <c r="AE5" s="11" t="s">
        <v>94</v>
      </c>
      <c r="AF5" s="11" t="s">
        <v>83</v>
      </c>
      <c r="AG5" s="11" t="s">
        <v>87</v>
      </c>
      <c r="AH5" s="11" t="s">
        <v>87</v>
      </c>
      <c r="AI5" s="11" t="s">
        <v>87</v>
      </c>
      <c r="AJ5" s="11" t="s">
        <v>196</v>
      </c>
      <c r="AK5" s="11" t="s">
        <v>95</v>
      </c>
      <c r="AL5" s="11" t="s">
        <v>96</v>
      </c>
      <c r="AM5" s="11" t="s">
        <v>97</v>
      </c>
      <c r="AN5" s="11" t="s">
        <v>98</v>
      </c>
      <c r="AO5" s="12" t="s">
        <v>83</v>
      </c>
      <c r="AP5" s="12" t="s">
        <v>87</v>
      </c>
      <c r="AQ5" s="11" t="s">
        <v>96</v>
      </c>
      <c r="AR5" s="12" t="s">
        <v>83</v>
      </c>
      <c r="AS5" s="11" t="s">
        <v>99</v>
      </c>
      <c r="AT5" s="11" t="s">
        <v>99</v>
      </c>
      <c r="AU5" s="11" t="s">
        <v>100</v>
      </c>
      <c r="AV5" s="11" t="s">
        <v>101</v>
      </c>
      <c r="AW5" s="11" t="s">
        <v>192</v>
      </c>
      <c r="AX5" s="11" t="s">
        <v>193</v>
      </c>
      <c r="AY5" s="11" t="s">
        <v>102</v>
      </c>
      <c r="AZ5" s="12" t="s">
        <v>103</v>
      </c>
      <c r="BA5" s="11" t="s">
        <v>104</v>
      </c>
      <c r="BB5" s="12" t="s">
        <v>45</v>
      </c>
    </row>
    <row r="6" spans="1:58" ht="13.5" customHeight="1" x14ac:dyDescent="0.2">
      <c r="A6" s="13"/>
      <c r="B6" s="14"/>
      <c r="C6" s="109"/>
      <c r="D6" s="15"/>
      <c r="E6" s="16"/>
      <c r="F6" s="86"/>
      <c r="G6" s="16"/>
      <c r="H6" s="86"/>
      <c r="I6" s="16"/>
      <c r="J6" s="19">
        <v>1.1000000000000001</v>
      </c>
      <c r="K6" s="19">
        <v>1.37</v>
      </c>
      <c r="L6" s="19">
        <v>1.47</v>
      </c>
      <c r="M6" s="19">
        <v>1.62</v>
      </c>
      <c r="N6" s="19">
        <v>2</v>
      </c>
      <c r="O6" s="19">
        <v>2.15</v>
      </c>
      <c r="P6" s="19">
        <v>3</v>
      </c>
      <c r="Q6" s="86"/>
      <c r="R6" s="16"/>
      <c r="S6" s="19">
        <v>1.3</v>
      </c>
      <c r="T6" s="19">
        <v>1.5</v>
      </c>
      <c r="U6" s="15"/>
      <c r="V6" s="17"/>
      <c r="W6" s="15"/>
      <c r="X6" s="17"/>
      <c r="Y6" s="18">
        <v>1.1000000000000001</v>
      </c>
      <c r="Z6" s="18">
        <v>1.37</v>
      </c>
      <c r="AA6" s="18">
        <v>1.62</v>
      </c>
      <c r="AB6" s="18">
        <v>1.47</v>
      </c>
      <c r="AC6" s="18">
        <v>2.17</v>
      </c>
      <c r="AD6" s="18">
        <v>3</v>
      </c>
      <c r="AE6" s="15"/>
      <c r="AF6" s="15"/>
      <c r="AG6" s="19">
        <v>1.65</v>
      </c>
      <c r="AH6" s="19">
        <v>2.1</v>
      </c>
      <c r="AI6" s="19">
        <v>3</v>
      </c>
      <c r="AJ6" s="15"/>
      <c r="AK6" s="17"/>
      <c r="AL6" s="15"/>
      <c r="AM6" s="17"/>
      <c r="AN6" s="86"/>
      <c r="AO6" s="16"/>
      <c r="AP6" s="19">
        <v>1.5</v>
      </c>
      <c r="AQ6" s="15"/>
      <c r="AR6" s="15"/>
      <c r="AS6" s="19">
        <v>1.3</v>
      </c>
      <c r="AT6" s="19">
        <v>1.45</v>
      </c>
      <c r="AU6" s="15"/>
      <c r="AV6" s="15"/>
      <c r="AW6" s="15"/>
      <c r="AX6" s="15"/>
      <c r="AY6" s="15"/>
      <c r="AZ6" s="17"/>
      <c r="BA6" s="16"/>
      <c r="BB6" s="16"/>
    </row>
    <row r="7" spans="1:58" ht="13.5" customHeight="1" x14ac:dyDescent="0.2">
      <c r="A7" s="13"/>
      <c r="B7" s="14"/>
      <c r="C7" s="138" t="s">
        <v>5</v>
      </c>
      <c r="D7" s="110" t="s">
        <v>6</v>
      </c>
      <c r="E7" s="111" t="s">
        <v>6</v>
      </c>
      <c r="F7" s="110" t="s">
        <v>6</v>
      </c>
      <c r="G7" s="111" t="s">
        <v>6</v>
      </c>
      <c r="H7" s="111" t="s">
        <v>6</v>
      </c>
      <c r="I7" s="111" t="s">
        <v>6</v>
      </c>
      <c r="J7" s="111" t="s">
        <v>6</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11" t="s">
        <v>6</v>
      </c>
      <c r="AA7" s="111" t="s">
        <v>6</v>
      </c>
      <c r="AB7" s="111" t="s">
        <v>6</v>
      </c>
      <c r="AC7" s="111" t="s">
        <v>6</v>
      </c>
      <c r="AD7" s="111" t="s">
        <v>6</v>
      </c>
      <c r="AE7" s="111" t="s">
        <v>6</v>
      </c>
      <c r="AF7" s="111" t="s">
        <v>6</v>
      </c>
      <c r="AG7" s="111" t="s">
        <v>6</v>
      </c>
      <c r="AH7" s="111" t="s">
        <v>6</v>
      </c>
      <c r="AI7" s="111" t="s">
        <v>6</v>
      </c>
      <c r="AJ7" s="111" t="s">
        <v>6</v>
      </c>
      <c r="AK7" s="111" t="s">
        <v>6</v>
      </c>
      <c r="AL7" s="111" t="s">
        <v>6</v>
      </c>
      <c r="AM7" s="111" t="s">
        <v>6</v>
      </c>
      <c r="AN7" s="110" t="s">
        <v>6</v>
      </c>
      <c r="AO7" s="111" t="s">
        <v>6</v>
      </c>
      <c r="AP7" s="111" t="s">
        <v>6</v>
      </c>
      <c r="AQ7" s="110" t="s">
        <v>6</v>
      </c>
      <c r="AR7" s="111" t="s">
        <v>6</v>
      </c>
      <c r="AS7" s="111" t="s">
        <v>6</v>
      </c>
      <c r="AT7" s="111" t="s">
        <v>6</v>
      </c>
      <c r="AU7" s="110" t="s">
        <v>6</v>
      </c>
      <c r="AV7" s="111" t="s">
        <v>6</v>
      </c>
      <c r="AW7" s="110" t="s">
        <v>6</v>
      </c>
      <c r="AX7" s="111" t="s">
        <v>6</v>
      </c>
      <c r="AY7" s="110" t="s">
        <v>6</v>
      </c>
      <c r="AZ7" s="111" t="s">
        <v>6</v>
      </c>
      <c r="BA7" s="111" t="s">
        <v>6</v>
      </c>
      <c r="BB7" s="111" t="s">
        <v>6</v>
      </c>
      <c r="BC7" s="112"/>
      <c r="BD7" s="112"/>
      <c r="BE7" s="112"/>
      <c r="BF7" s="112"/>
    </row>
    <row r="8" spans="1:58" x14ac:dyDescent="0.2">
      <c r="A8" s="153"/>
      <c r="B8" s="154" t="s">
        <v>3</v>
      </c>
      <c r="C8" s="154"/>
      <c r="D8" s="154"/>
      <c r="E8" s="154"/>
      <c r="F8" s="155"/>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5"/>
      <c r="AO8" s="154"/>
      <c r="AP8" s="154"/>
      <c r="AQ8" s="155"/>
      <c r="AR8" s="154"/>
      <c r="AS8" s="154"/>
      <c r="AT8" s="154"/>
      <c r="AU8" s="155"/>
      <c r="AV8" s="154"/>
      <c r="AW8" s="155"/>
      <c r="AX8" s="154"/>
      <c r="AY8" s="155"/>
      <c r="AZ8" s="156"/>
      <c r="BA8" s="154"/>
      <c r="BB8" s="157"/>
    </row>
    <row r="9" spans="1:58" x14ac:dyDescent="0.2">
      <c r="A9" s="139"/>
      <c r="B9" s="140"/>
      <c r="C9" s="141"/>
      <c r="D9" s="142"/>
      <c r="E9" s="143"/>
      <c r="F9" s="142"/>
      <c r="G9" s="143"/>
      <c r="H9" s="142"/>
      <c r="I9" s="143"/>
      <c r="J9" s="144"/>
      <c r="K9" s="144"/>
      <c r="L9" s="144"/>
      <c r="M9" s="144"/>
      <c r="N9" s="144"/>
      <c r="O9" s="144"/>
      <c r="P9" s="144"/>
      <c r="Q9" s="145"/>
      <c r="R9" s="146"/>
      <c r="S9" s="144"/>
      <c r="T9" s="144"/>
      <c r="U9" s="145"/>
      <c r="V9" s="146"/>
      <c r="W9" s="145"/>
      <c r="X9" s="146"/>
      <c r="Y9" s="144"/>
      <c r="Z9" s="144"/>
      <c r="AA9" s="144"/>
      <c r="AB9" s="144"/>
      <c r="AC9" s="144"/>
      <c r="AD9" s="144"/>
      <c r="AE9" s="142"/>
      <c r="AF9" s="142"/>
      <c r="AG9" s="147"/>
      <c r="AH9" s="147"/>
      <c r="AI9" s="147"/>
      <c r="AJ9" s="145"/>
      <c r="AK9" s="143"/>
      <c r="AL9" s="145"/>
      <c r="AM9" s="143"/>
      <c r="AN9" s="145"/>
      <c r="AO9" s="143"/>
      <c r="AP9" s="147"/>
      <c r="AQ9" s="145"/>
      <c r="AR9" s="143"/>
      <c r="AS9" s="147"/>
      <c r="AT9" s="147"/>
      <c r="AU9" s="145"/>
      <c r="AV9" s="143"/>
      <c r="AW9" s="142"/>
      <c r="AX9" s="143"/>
      <c r="AY9" s="145"/>
      <c r="AZ9" s="143"/>
      <c r="BA9" s="145"/>
      <c r="BB9" s="143"/>
    </row>
    <row r="10" spans="1:58" x14ac:dyDescent="0.2">
      <c r="A10" s="23"/>
      <c r="B10" s="24" t="s">
        <v>32</v>
      </c>
      <c r="C10" s="25"/>
      <c r="D10" s="26"/>
      <c r="E10" s="27"/>
      <c r="F10" s="28"/>
      <c r="G10" s="27"/>
      <c r="H10" s="28"/>
      <c r="I10" s="27"/>
      <c r="J10" s="30"/>
      <c r="K10" s="30"/>
      <c r="L10" s="30"/>
      <c r="M10" s="30"/>
      <c r="N10" s="30"/>
      <c r="O10" s="30"/>
      <c r="P10" s="30"/>
      <c r="Q10" s="28"/>
      <c r="R10" s="27"/>
      <c r="S10" s="30"/>
      <c r="T10" s="30"/>
      <c r="U10" s="28"/>
      <c r="V10" s="27"/>
      <c r="W10" s="28"/>
      <c r="X10" s="27"/>
      <c r="Y10" s="30"/>
      <c r="Z10" s="30"/>
      <c r="AA10" s="30"/>
      <c r="AB10" s="30"/>
      <c r="AC10" s="30"/>
      <c r="AD10" s="30"/>
      <c r="AE10" s="28"/>
      <c r="AF10" s="27"/>
      <c r="AG10" s="31"/>
      <c r="AH10" s="31"/>
      <c r="AI10" s="31"/>
      <c r="AJ10" s="29"/>
      <c r="AK10" s="27"/>
      <c r="AL10" s="29"/>
      <c r="AM10" s="27"/>
      <c r="AN10" s="29"/>
      <c r="AO10" s="27"/>
      <c r="AP10" s="31"/>
      <c r="AQ10" s="29"/>
      <c r="AR10" s="27"/>
      <c r="AS10" s="31"/>
      <c r="AT10" s="31"/>
      <c r="AU10" s="29"/>
      <c r="AV10" s="27"/>
      <c r="AW10" s="28"/>
      <c r="AX10" s="27"/>
      <c r="AY10" s="29"/>
      <c r="AZ10" s="27"/>
      <c r="BA10" s="29"/>
      <c r="BB10" s="27"/>
    </row>
    <row r="11" spans="1:58" x14ac:dyDescent="0.2">
      <c r="A11" s="32" t="s">
        <v>7</v>
      </c>
      <c r="B11" s="33" t="s">
        <v>8</v>
      </c>
      <c r="C11" s="34">
        <v>15</v>
      </c>
      <c r="D11" s="28">
        <f t="shared" ref="D11:D27" si="0">ROUND(E11*C11,1)</f>
        <v>1022.1</v>
      </c>
      <c r="E11" s="89">
        <f>RCF!C$43</f>
        <v>68.141894999999991</v>
      </c>
      <c r="F11" s="91">
        <f t="shared" ref="F11:F27" si="1">ROUNDDOWN((H11/1.039),1)</f>
        <v>399.9</v>
      </c>
      <c r="G11" s="27">
        <f t="shared" ref="G11:I27" si="2">F11/$C11</f>
        <v>26.66</v>
      </c>
      <c r="H11" s="91">
        <v>415.5</v>
      </c>
      <c r="I11" s="27">
        <f t="shared" si="2"/>
        <v>27.7</v>
      </c>
      <c r="J11" s="31">
        <f t="shared" ref="J11:P27" si="3">ROUND($C11*$I11*J$6,1)</f>
        <v>457.1</v>
      </c>
      <c r="K11" s="31">
        <f t="shared" si="3"/>
        <v>569.20000000000005</v>
      </c>
      <c r="L11" s="31">
        <f t="shared" si="3"/>
        <v>610.79999999999995</v>
      </c>
      <c r="M11" s="31">
        <f t="shared" si="3"/>
        <v>673.1</v>
      </c>
      <c r="N11" s="31">
        <f t="shared" si="3"/>
        <v>831</v>
      </c>
      <c r="O11" s="31">
        <f t="shared" si="3"/>
        <v>893.3</v>
      </c>
      <c r="P11" s="31">
        <f t="shared" si="3"/>
        <v>1246.5</v>
      </c>
      <c r="Q11" s="91">
        <v>427.7</v>
      </c>
      <c r="R11" s="27">
        <f t="shared" ref="R11" si="4">Q11/$C11</f>
        <v>28.513333333333332</v>
      </c>
      <c r="S11" s="31">
        <f>ROUNDDOWN($Q11*S$6,1)</f>
        <v>556</v>
      </c>
      <c r="T11" s="31">
        <f>ROUNDDOWN($Q11*T$6,1)</f>
        <v>641.5</v>
      </c>
      <c r="U11" s="91">
        <v>280.10000000000002</v>
      </c>
      <c r="V11" s="27">
        <f t="shared" ref="V11" si="5">U11/$C11</f>
        <v>18.673333333333336</v>
      </c>
      <c r="W11" s="91">
        <v>298.60000000000002</v>
      </c>
      <c r="X11" s="27">
        <f t="shared" ref="X11" si="6">W11/$C11</f>
        <v>19.90666666666667</v>
      </c>
      <c r="Y11" s="31">
        <f>ROUNDDOWN($W11*Y$6,1)</f>
        <v>328.4</v>
      </c>
      <c r="Z11" s="31">
        <f t="shared" ref="Z11:AD26" si="7">ROUNDDOWN($W11*Z$6,1)</f>
        <v>409</v>
      </c>
      <c r="AA11" s="31">
        <f t="shared" si="7"/>
        <v>483.7</v>
      </c>
      <c r="AB11" s="31">
        <f t="shared" si="7"/>
        <v>438.9</v>
      </c>
      <c r="AC11" s="31">
        <f t="shared" si="7"/>
        <v>647.9</v>
      </c>
      <c r="AD11" s="31">
        <f t="shared" si="7"/>
        <v>895.8</v>
      </c>
      <c r="AE11" s="28">
        <v>401.2</v>
      </c>
      <c r="AF11" s="27">
        <f t="shared" ref="AF11" si="8">AE11/$C11</f>
        <v>26.746666666666666</v>
      </c>
      <c r="AG11" s="31">
        <f t="shared" ref="AG11:AI27" si="9">ROUND($AE11*AG$6,1)</f>
        <v>662</v>
      </c>
      <c r="AH11" s="31">
        <f t="shared" si="9"/>
        <v>842.5</v>
      </c>
      <c r="AI11" s="31">
        <f t="shared" si="9"/>
        <v>1203.5999999999999</v>
      </c>
      <c r="AJ11" s="91">
        <v>417.4</v>
      </c>
      <c r="AK11" s="27">
        <f>AJ11/C11</f>
        <v>27.826666666666664</v>
      </c>
      <c r="AL11" s="91">
        <v>563.6</v>
      </c>
      <c r="AM11" s="27">
        <f t="shared" ref="AM11" si="10">AL11/$C11</f>
        <v>37.573333333333338</v>
      </c>
      <c r="AN11" s="91">
        <v>448</v>
      </c>
      <c r="AO11" s="89">
        <f>AN11/C11</f>
        <v>29.866666666666667</v>
      </c>
      <c r="AP11" s="31">
        <f>ROUNDDOWN(AN11*AP$6,1)</f>
        <v>672</v>
      </c>
      <c r="AQ11" s="28">
        <v>418.8</v>
      </c>
      <c r="AR11" s="27">
        <f t="shared" ref="AR11" si="11">AQ11/$C11</f>
        <v>27.92</v>
      </c>
      <c r="AS11" s="31">
        <f>ROUNDDOWN($AQ11*AS$6,1)</f>
        <v>544.4</v>
      </c>
      <c r="AT11" s="31">
        <f>ROUNDDOWN($AQ11*AT$6,1)</f>
        <v>607.20000000000005</v>
      </c>
      <c r="AU11" s="28">
        <v>433</v>
      </c>
      <c r="AV11" s="89">
        <f>AU11/C11</f>
        <v>28.866666666666667</v>
      </c>
      <c r="AW11" s="91">
        <v>437.61</v>
      </c>
      <c r="AX11" s="89">
        <f>AW11/C11</f>
        <v>29.173999999999999</v>
      </c>
      <c r="AY11" s="28"/>
      <c r="AZ11" s="27">
        <f t="shared" ref="AZ11:AZ27" si="12">AY11/$C11</f>
        <v>0</v>
      </c>
      <c r="BA11" s="137">
        <f>ROUNDDOWN($C11*BB11,1)</f>
        <v>425.8</v>
      </c>
      <c r="BB11" s="27">
        <f>RCF!I$41</f>
        <v>28.387</v>
      </c>
    </row>
    <row r="12" spans="1:58" x14ac:dyDescent="0.2">
      <c r="A12" s="32" t="s">
        <v>9</v>
      </c>
      <c r="B12" s="33" t="s">
        <v>10</v>
      </c>
      <c r="C12" s="34">
        <v>15</v>
      </c>
      <c r="D12" s="28">
        <f t="shared" si="0"/>
        <v>1022.1</v>
      </c>
      <c r="E12" s="89">
        <f>RCF!C$43</f>
        <v>68.141894999999991</v>
      </c>
      <c r="F12" s="91">
        <f t="shared" si="1"/>
        <v>399.9</v>
      </c>
      <c r="G12" s="27">
        <f t="shared" si="2"/>
        <v>26.66</v>
      </c>
      <c r="H12" s="91">
        <v>415.5</v>
      </c>
      <c r="I12" s="27">
        <f t="shared" si="2"/>
        <v>27.7</v>
      </c>
      <c r="J12" s="31">
        <f t="shared" si="3"/>
        <v>457.1</v>
      </c>
      <c r="K12" s="31">
        <f t="shared" si="3"/>
        <v>569.20000000000005</v>
      </c>
      <c r="L12" s="31">
        <f t="shared" si="3"/>
        <v>610.79999999999995</v>
      </c>
      <c r="M12" s="31">
        <f t="shared" si="3"/>
        <v>673.1</v>
      </c>
      <c r="N12" s="31">
        <f t="shared" si="3"/>
        <v>831</v>
      </c>
      <c r="O12" s="31">
        <f t="shared" si="3"/>
        <v>893.3</v>
      </c>
      <c r="P12" s="31">
        <f t="shared" si="3"/>
        <v>1246.5</v>
      </c>
      <c r="Q12" s="91">
        <v>427.7</v>
      </c>
      <c r="R12" s="27">
        <f t="shared" ref="R12" si="13">Q12/$C12</f>
        <v>28.513333333333332</v>
      </c>
      <c r="S12" s="31">
        <f t="shared" ref="S12:T27" si="14">ROUNDDOWN($Q12*S$6,1)</f>
        <v>556</v>
      </c>
      <c r="T12" s="31">
        <f t="shared" si="14"/>
        <v>641.5</v>
      </c>
      <c r="U12" s="91">
        <v>391</v>
      </c>
      <c r="V12" s="27">
        <f t="shared" ref="V12" si="15">U12/$C12</f>
        <v>26.066666666666666</v>
      </c>
      <c r="W12" s="91">
        <v>416.4</v>
      </c>
      <c r="X12" s="27">
        <f t="shared" ref="X12" si="16">W12/$C12</f>
        <v>27.759999999999998</v>
      </c>
      <c r="Y12" s="31">
        <f t="shared" ref="Y12:Y26" si="17">ROUNDDOWN($W12*Y$6,1)</f>
        <v>458</v>
      </c>
      <c r="Z12" s="31">
        <f t="shared" si="7"/>
        <v>570.4</v>
      </c>
      <c r="AA12" s="31">
        <f t="shared" si="7"/>
        <v>674.5</v>
      </c>
      <c r="AB12" s="31">
        <f t="shared" si="7"/>
        <v>612.1</v>
      </c>
      <c r="AC12" s="31">
        <f t="shared" si="7"/>
        <v>903.5</v>
      </c>
      <c r="AD12" s="31">
        <f t="shared" si="7"/>
        <v>1249.2</v>
      </c>
      <c r="AE12" s="28">
        <v>401.2</v>
      </c>
      <c r="AF12" s="27">
        <f t="shared" ref="AF12" si="18">AE12/$C12</f>
        <v>26.746666666666666</v>
      </c>
      <c r="AG12" s="31">
        <f t="shared" si="9"/>
        <v>662</v>
      </c>
      <c r="AH12" s="31">
        <f t="shared" si="9"/>
        <v>842.5</v>
      </c>
      <c r="AI12" s="31">
        <f t="shared" si="9"/>
        <v>1203.5999999999999</v>
      </c>
      <c r="AJ12" s="91">
        <v>752.2</v>
      </c>
      <c r="AK12" s="27">
        <f t="shared" ref="AK12:AK27" si="19">AJ12/C12</f>
        <v>50.146666666666668</v>
      </c>
      <c r="AL12" s="91">
        <v>563.6</v>
      </c>
      <c r="AM12" s="27">
        <f t="shared" ref="AM12" si="20">AL12/$C12</f>
        <v>37.573333333333338</v>
      </c>
      <c r="AN12" s="91">
        <v>448</v>
      </c>
      <c r="AO12" s="89">
        <f t="shared" ref="AO12:AO27" si="21">AN12/C12</f>
        <v>29.866666666666667</v>
      </c>
      <c r="AP12" s="31">
        <f>ROUNDDOWN(AN12*AP$6,1)</f>
        <v>672</v>
      </c>
      <c r="AQ12" s="28">
        <v>418.8</v>
      </c>
      <c r="AR12" s="27">
        <f t="shared" ref="AR12" si="22">AQ12/$C12</f>
        <v>27.92</v>
      </c>
      <c r="AS12" s="31">
        <f t="shared" ref="AS12:AT27" si="23">ROUNDDOWN($AQ12*AS$6,1)</f>
        <v>544.4</v>
      </c>
      <c r="AT12" s="31">
        <f t="shared" si="23"/>
        <v>607.20000000000005</v>
      </c>
      <c r="AU12" s="28">
        <v>433</v>
      </c>
      <c r="AV12" s="89">
        <f t="shared" ref="AV12:AV27" si="24">AU12/C12</f>
        <v>28.866666666666667</v>
      </c>
      <c r="AW12" s="91">
        <v>437.61</v>
      </c>
      <c r="AX12" s="89">
        <f t="shared" ref="AX12:AX27" si="25">AW12/C12</f>
        <v>29.173999999999999</v>
      </c>
      <c r="AY12" s="28">
        <v>0</v>
      </c>
      <c r="AZ12" s="27">
        <f t="shared" si="12"/>
        <v>0</v>
      </c>
      <c r="BA12" s="137">
        <f t="shared" ref="BA12:BA19" si="26">ROUNDDOWN($C12*BB12,1)</f>
        <v>425.8</v>
      </c>
      <c r="BB12" s="27">
        <f>RCF!I$41</f>
        <v>28.387</v>
      </c>
    </row>
    <row r="13" spans="1:58" x14ac:dyDescent="0.2">
      <c r="A13" s="35" t="s">
        <v>11</v>
      </c>
      <c r="B13" s="33" t="s">
        <v>12</v>
      </c>
      <c r="C13" s="34">
        <v>12</v>
      </c>
      <c r="D13" s="28">
        <f t="shared" si="0"/>
        <v>817.7</v>
      </c>
      <c r="E13" s="89">
        <f>RCF!C$43</f>
        <v>68.141894999999991</v>
      </c>
      <c r="F13" s="91">
        <f t="shared" si="1"/>
        <v>346.6</v>
      </c>
      <c r="G13" s="27">
        <f t="shared" si="2"/>
        <v>28.883333333333336</v>
      </c>
      <c r="H13" s="91">
        <v>360.2</v>
      </c>
      <c r="I13" s="27">
        <f t="shared" si="2"/>
        <v>30.016666666666666</v>
      </c>
      <c r="J13" s="31">
        <f t="shared" si="3"/>
        <v>396.2</v>
      </c>
      <c r="K13" s="31">
        <f t="shared" si="3"/>
        <v>493.5</v>
      </c>
      <c r="L13" s="31">
        <f t="shared" si="3"/>
        <v>529.5</v>
      </c>
      <c r="M13" s="31">
        <f t="shared" si="3"/>
        <v>583.5</v>
      </c>
      <c r="N13" s="31">
        <f t="shared" si="3"/>
        <v>720.4</v>
      </c>
      <c r="O13" s="31">
        <f t="shared" si="3"/>
        <v>774.4</v>
      </c>
      <c r="P13" s="31">
        <f t="shared" si="3"/>
        <v>1080.5999999999999</v>
      </c>
      <c r="Q13" s="91">
        <v>513.1</v>
      </c>
      <c r="R13" s="27">
        <f t="shared" ref="R13" si="27">Q13/$C13</f>
        <v>42.758333333333333</v>
      </c>
      <c r="S13" s="31">
        <f t="shared" si="14"/>
        <v>667</v>
      </c>
      <c r="T13" s="31">
        <f t="shared" si="14"/>
        <v>769.6</v>
      </c>
      <c r="U13" s="91">
        <v>358.6</v>
      </c>
      <c r="V13" s="27">
        <f t="shared" ref="V13" si="28">U13/$C13</f>
        <v>29.883333333333336</v>
      </c>
      <c r="W13" s="91">
        <v>381.9</v>
      </c>
      <c r="X13" s="27">
        <f t="shared" ref="X13" si="29">W13/$C13</f>
        <v>31.824999999999999</v>
      </c>
      <c r="Y13" s="31">
        <f t="shared" si="17"/>
        <v>420</v>
      </c>
      <c r="Z13" s="31">
        <f t="shared" si="7"/>
        <v>523.20000000000005</v>
      </c>
      <c r="AA13" s="31">
        <f t="shared" si="7"/>
        <v>618.6</v>
      </c>
      <c r="AB13" s="31">
        <f t="shared" si="7"/>
        <v>561.29999999999995</v>
      </c>
      <c r="AC13" s="31">
        <f t="shared" si="7"/>
        <v>828.7</v>
      </c>
      <c r="AD13" s="31">
        <f t="shared" si="7"/>
        <v>1145.7</v>
      </c>
      <c r="AE13" s="28">
        <v>481.4</v>
      </c>
      <c r="AF13" s="27">
        <f t="shared" ref="AF13" si="30">AE13/$C13</f>
        <v>40.116666666666667</v>
      </c>
      <c r="AG13" s="31">
        <f t="shared" si="9"/>
        <v>794.3</v>
      </c>
      <c r="AH13" s="31">
        <f t="shared" si="9"/>
        <v>1010.9</v>
      </c>
      <c r="AI13" s="31">
        <f t="shared" si="9"/>
        <v>1444.2</v>
      </c>
      <c r="AJ13" s="91">
        <v>408.8</v>
      </c>
      <c r="AK13" s="27">
        <f t="shared" si="19"/>
        <v>34.06666666666667</v>
      </c>
      <c r="AL13" s="91">
        <v>659.7</v>
      </c>
      <c r="AM13" s="27">
        <f t="shared" ref="AM13" si="31">AL13/$C13</f>
        <v>54.975000000000001</v>
      </c>
      <c r="AN13" s="91">
        <v>538.29999999999995</v>
      </c>
      <c r="AO13" s="89">
        <f t="shared" si="21"/>
        <v>44.858333333333327</v>
      </c>
      <c r="AP13" s="31">
        <f t="shared" ref="AP13:AP27" si="32">ROUNDDOWN(AN13*AP$6,1)</f>
        <v>807.4</v>
      </c>
      <c r="AQ13" s="28">
        <v>335.6</v>
      </c>
      <c r="AR13" s="27">
        <f t="shared" ref="AR13" si="33">AQ13/$C13</f>
        <v>27.966666666666669</v>
      </c>
      <c r="AS13" s="31">
        <f t="shared" si="23"/>
        <v>436.2</v>
      </c>
      <c r="AT13" s="31">
        <f t="shared" si="23"/>
        <v>486.6</v>
      </c>
      <c r="AU13" s="28">
        <v>519.5</v>
      </c>
      <c r="AV13" s="89">
        <f t="shared" si="24"/>
        <v>43.291666666666664</v>
      </c>
      <c r="AW13" s="283"/>
      <c r="AX13" s="89">
        <f t="shared" si="25"/>
        <v>0</v>
      </c>
      <c r="AY13" s="28"/>
      <c r="AZ13" s="27">
        <f t="shared" si="12"/>
        <v>0</v>
      </c>
      <c r="BA13" s="137">
        <f t="shared" si="26"/>
        <v>340.6</v>
      </c>
      <c r="BB13" s="27">
        <f>RCF!I$41</f>
        <v>28.387</v>
      </c>
    </row>
    <row r="14" spans="1:58" x14ac:dyDescent="0.2">
      <c r="A14" s="32" t="s">
        <v>13</v>
      </c>
      <c r="B14" s="33" t="s">
        <v>14</v>
      </c>
      <c r="C14" s="34">
        <v>5</v>
      </c>
      <c r="D14" s="28">
        <f t="shared" si="0"/>
        <v>340.7</v>
      </c>
      <c r="E14" s="89">
        <f>RCF!C$43</f>
        <v>68.141894999999991</v>
      </c>
      <c r="F14" s="91">
        <f t="shared" si="1"/>
        <v>133.4</v>
      </c>
      <c r="G14" s="27">
        <f t="shared" si="2"/>
        <v>26.68</v>
      </c>
      <c r="H14" s="91">
        <v>138.69999999999999</v>
      </c>
      <c r="I14" s="27">
        <f t="shared" si="2"/>
        <v>27.74</v>
      </c>
      <c r="J14" s="31">
        <f t="shared" si="3"/>
        <v>152.6</v>
      </c>
      <c r="K14" s="31">
        <f t="shared" si="3"/>
        <v>190</v>
      </c>
      <c r="L14" s="31">
        <f t="shared" si="3"/>
        <v>203.9</v>
      </c>
      <c r="M14" s="31">
        <f t="shared" si="3"/>
        <v>224.7</v>
      </c>
      <c r="N14" s="31">
        <f t="shared" si="3"/>
        <v>277.39999999999998</v>
      </c>
      <c r="O14" s="31">
        <f t="shared" si="3"/>
        <v>298.2</v>
      </c>
      <c r="P14" s="31">
        <f t="shared" si="3"/>
        <v>416.1</v>
      </c>
      <c r="Q14" s="91">
        <v>142.9</v>
      </c>
      <c r="R14" s="27">
        <f t="shared" ref="R14" si="34">Q14/$C14</f>
        <v>28.580000000000002</v>
      </c>
      <c r="S14" s="31">
        <f t="shared" si="14"/>
        <v>185.7</v>
      </c>
      <c r="T14" s="31">
        <f t="shared" si="14"/>
        <v>214.3</v>
      </c>
      <c r="U14" s="91">
        <v>130.19999999999999</v>
      </c>
      <c r="V14" s="27">
        <f t="shared" ref="V14" si="35">U14/$C14</f>
        <v>26.04</v>
      </c>
      <c r="W14" s="91">
        <v>138.5</v>
      </c>
      <c r="X14" s="27">
        <f t="shared" ref="X14" si="36">W14/$C14</f>
        <v>27.7</v>
      </c>
      <c r="Y14" s="31">
        <f t="shared" si="17"/>
        <v>152.30000000000001</v>
      </c>
      <c r="Z14" s="31">
        <f t="shared" si="7"/>
        <v>189.7</v>
      </c>
      <c r="AA14" s="31">
        <f t="shared" si="7"/>
        <v>224.3</v>
      </c>
      <c r="AB14" s="31">
        <f t="shared" si="7"/>
        <v>203.5</v>
      </c>
      <c r="AC14" s="31">
        <f t="shared" si="7"/>
        <v>300.5</v>
      </c>
      <c r="AD14" s="31">
        <f t="shared" si="7"/>
        <v>415.5</v>
      </c>
      <c r="AE14" s="28">
        <v>134.1</v>
      </c>
      <c r="AF14" s="27">
        <f t="shared" ref="AF14" si="37">AE14/$C14</f>
        <v>26.82</v>
      </c>
      <c r="AG14" s="31">
        <f t="shared" si="9"/>
        <v>221.3</v>
      </c>
      <c r="AH14" s="31">
        <f t="shared" si="9"/>
        <v>281.60000000000002</v>
      </c>
      <c r="AI14" s="31">
        <f t="shared" si="9"/>
        <v>402.3</v>
      </c>
      <c r="AJ14" s="91">
        <v>488.5</v>
      </c>
      <c r="AK14" s="27">
        <f t="shared" si="19"/>
        <v>97.7</v>
      </c>
      <c r="AL14" s="91">
        <v>188.1</v>
      </c>
      <c r="AM14" s="27">
        <f t="shared" ref="AM14" si="38">AL14/$C14</f>
        <v>37.619999999999997</v>
      </c>
      <c r="AN14" s="91">
        <v>149.69999999999999</v>
      </c>
      <c r="AO14" s="89">
        <f t="shared" si="21"/>
        <v>29.939999999999998</v>
      </c>
      <c r="AP14" s="31">
        <f t="shared" si="32"/>
        <v>224.5</v>
      </c>
      <c r="AQ14" s="28">
        <v>139.6</v>
      </c>
      <c r="AR14" s="27">
        <f t="shared" ref="AR14" si="39">AQ14/$C14</f>
        <v>27.919999999999998</v>
      </c>
      <c r="AS14" s="31">
        <f t="shared" si="23"/>
        <v>181.4</v>
      </c>
      <c r="AT14" s="31">
        <f t="shared" si="23"/>
        <v>202.4</v>
      </c>
      <c r="AU14" s="28">
        <v>144.30000000000001</v>
      </c>
      <c r="AV14" s="89">
        <f t="shared" si="24"/>
        <v>28.860000000000003</v>
      </c>
      <c r="AW14" s="91">
        <v>145.87</v>
      </c>
      <c r="AX14" s="89">
        <f t="shared" si="25"/>
        <v>29.173999999999999</v>
      </c>
      <c r="AY14" s="28"/>
      <c r="AZ14" s="27">
        <f t="shared" si="12"/>
        <v>0</v>
      </c>
      <c r="BA14" s="137">
        <f t="shared" si="26"/>
        <v>141.9</v>
      </c>
      <c r="BB14" s="27">
        <f>RCF!I$41</f>
        <v>28.387</v>
      </c>
    </row>
    <row r="15" spans="1:58" x14ac:dyDescent="0.2">
      <c r="A15" s="32" t="s">
        <v>15</v>
      </c>
      <c r="B15" s="33" t="s">
        <v>16</v>
      </c>
      <c r="C15" s="34">
        <v>9</v>
      </c>
      <c r="D15" s="28">
        <f t="shared" si="0"/>
        <v>613.29999999999995</v>
      </c>
      <c r="E15" s="89">
        <f>RCF!C$43</f>
        <v>68.141894999999991</v>
      </c>
      <c r="F15" s="91">
        <f t="shared" si="1"/>
        <v>239.8</v>
      </c>
      <c r="G15" s="27">
        <f t="shared" si="2"/>
        <v>26.644444444444446</v>
      </c>
      <c r="H15" s="91">
        <v>249.2</v>
      </c>
      <c r="I15" s="27">
        <f t="shared" si="2"/>
        <v>27.688888888888886</v>
      </c>
      <c r="J15" s="31">
        <f t="shared" si="3"/>
        <v>274.10000000000002</v>
      </c>
      <c r="K15" s="31">
        <f t="shared" si="3"/>
        <v>341.4</v>
      </c>
      <c r="L15" s="31">
        <f t="shared" si="3"/>
        <v>366.3</v>
      </c>
      <c r="M15" s="31">
        <f t="shared" si="3"/>
        <v>403.7</v>
      </c>
      <c r="N15" s="31">
        <f t="shared" si="3"/>
        <v>498.4</v>
      </c>
      <c r="O15" s="31">
        <f t="shared" si="3"/>
        <v>535.79999999999995</v>
      </c>
      <c r="P15" s="31">
        <f t="shared" si="3"/>
        <v>747.6</v>
      </c>
      <c r="Q15" s="91">
        <v>256.60000000000002</v>
      </c>
      <c r="R15" s="27">
        <f t="shared" ref="R15" si="40">Q15/$C15</f>
        <v>28.511111111111113</v>
      </c>
      <c r="S15" s="31">
        <f t="shared" si="14"/>
        <v>333.5</v>
      </c>
      <c r="T15" s="31">
        <f t="shared" si="14"/>
        <v>384.9</v>
      </c>
      <c r="U15" s="91">
        <v>234.4</v>
      </c>
      <c r="V15" s="27">
        <f t="shared" ref="V15" si="41">U15/$C15</f>
        <v>26.044444444444444</v>
      </c>
      <c r="W15" s="91">
        <v>249.4</v>
      </c>
      <c r="X15" s="27">
        <f t="shared" ref="X15" si="42">W15/$C15</f>
        <v>27.711111111111112</v>
      </c>
      <c r="Y15" s="31">
        <f t="shared" si="17"/>
        <v>274.3</v>
      </c>
      <c r="Z15" s="31">
        <f t="shared" si="7"/>
        <v>341.6</v>
      </c>
      <c r="AA15" s="31">
        <f t="shared" si="7"/>
        <v>404</v>
      </c>
      <c r="AB15" s="31">
        <f t="shared" si="7"/>
        <v>366.6</v>
      </c>
      <c r="AC15" s="31">
        <f t="shared" si="7"/>
        <v>541.1</v>
      </c>
      <c r="AD15" s="31">
        <f t="shared" si="7"/>
        <v>748.2</v>
      </c>
      <c r="AE15" s="28">
        <v>240.6</v>
      </c>
      <c r="AF15" s="27">
        <f t="shared" ref="AF15" si="43">AE15/$C15</f>
        <v>26.733333333333334</v>
      </c>
      <c r="AG15" s="31">
        <f t="shared" si="9"/>
        <v>397</v>
      </c>
      <c r="AH15" s="31">
        <f t="shared" si="9"/>
        <v>505.3</v>
      </c>
      <c r="AI15" s="31">
        <f t="shared" si="9"/>
        <v>721.8</v>
      </c>
      <c r="AJ15" s="91">
        <v>139.1</v>
      </c>
      <c r="AK15" s="27">
        <f t="shared" si="19"/>
        <v>15.455555555555556</v>
      </c>
      <c r="AL15" s="91">
        <v>338.1</v>
      </c>
      <c r="AM15" s="27">
        <f t="shared" ref="AM15" si="44">AL15/$C15</f>
        <v>37.56666666666667</v>
      </c>
      <c r="AN15" s="91">
        <v>269</v>
      </c>
      <c r="AO15" s="89">
        <f t="shared" si="21"/>
        <v>29.888888888888889</v>
      </c>
      <c r="AP15" s="31">
        <f t="shared" si="32"/>
        <v>403.5</v>
      </c>
      <c r="AQ15" s="28">
        <v>251.5</v>
      </c>
      <c r="AR15" s="27">
        <f t="shared" ref="AR15" si="45">AQ15/$C15</f>
        <v>27.944444444444443</v>
      </c>
      <c r="AS15" s="31">
        <f t="shared" si="23"/>
        <v>326.89999999999998</v>
      </c>
      <c r="AT15" s="31">
        <f t="shared" si="23"/>
        <v>364.6</v>
      </c>
      <c r="AU15" s="28">
        <v>260.10000000000002</v>
      </c>
      <c r="AV15" s="89">
        <f t="shared" si="24"/>
        <v>28.900000000000002</v>
      </c>
      <c r="AW15" s="91">
        <v>262.56599999999997</v>
      </c>
      <c r="AX15" s="89">
        <f t="shared" si="25"/>
        <v>29.173999999999996</v>
      </c>
      <c r="AY15" s="28"/>
      <c r="AZ15" s="27">
        <f t="shared" si="12"/>
        <v>0</v>
      </c>
      <c r="BA15" s="137">
        <f t="shared" si="26"/>
        <v>255.4</v>
      </c>
      <c r="BB15" s="27">
        <f>RCF!I$41</f>
        <v>28.387</v>
      </c>
    </row>
    <row r="16" spans="1:58" x14ac:dyDescent="0.2">
      <c r="A16" s="197" t="s">
        <v>178</v>
      </c>
      <c r="B16" s="198" t="s">
        <v>179</v>
      </c>
      <c r="C16" s="199">
        <v>8</v>
      </c>
      <c r="D16" s="28">
        <f t="shared" ref="D16" si="46">ROUND(E16*C16,1)</f>
        <v>545.1</v>
      </c>
      <c r="E16" s="89">
        <f>RCF!C$43</f>
        <v>68.141894999999991</v>
      </c>
      <c r="F16" s="91">
        <f t="shared" si="1"/>
        <v>0</v>
      </c>
      <c r="G16" s="27">
        <f t="shared" ref="G16" si="47">F16/$C16</f>
        <v>0</v>
      </c>
      <c r="H16" s="91"/>
      <c r="I16" s="27">
        <f t="shared" ref="I16" si="48">H16/$C16</f>
        <v>0</v>
      </c>
      <c r="J16" s="31">
        <f t="shared" si="3"/>
        <v>0</v>
      </c>
      <c r="K16" s="31">
        <f t="shared" si="3"/>
        <v>0</v>
      </c>
      <c r="L16" s="31">
        <f t="shared" si="3"/>
        <v>0</v>
      </c>
      <c r="M16" s="31">
        <f t="shared" si="3"/>
        <v>0</v>
      </c>
      <c r="N16" s="31">
        <f t="shared" si="3"/>
        <v>0</v>
      </c>
      <c r="O16" s="31">
        <f t="shared" si="3"/>
        <v>0</v>
      </c>
      <c r="P16" s="31">
        <f t="shared" si="3"/>
        <v>0</v>
      </c>
      <c r="Q16" s="202">
        <f t="shared" ref="Q16" si="49">ROUNDDOWN(C16*R16,1)</f>
        <v>228.1</v>
      </c>
      <c r="R16" s="27">
        <f t="shared" ref="R16:R19" si="50">R$11</f>
        <v>28.513333333333332</v>
      </c>
      <c r="S16" s="31">
        <f t="shared" si="14"/>
        <v>296.5</v>
      </c>
      <c r="T16" s="31">
        <f t="shared" si="14"/>
        <v>342.1</v>
      </c>
      <c r="U16" s="202"/>
      <c r="V16" s="27">
        <f t="shared" ref="V16" si="51">U16/$C16</f>
        <v>0</v>
      </c>
      <c r="W16" s="202"/>
      <c r="X16" s="27">
        <f t="shared" ref="X16" si="52">W16/$C16</f>
        <v>0</v>
      </c>
      <c r="Y16" s="31">
        <f t="shared" si="17"/>
        <v>0</v>
      </c>
      <c r="Z16" s="31">
        <f t="shared" si="7"/>
        <v>0</v>
      </c>
      <c r="AA16" s="31">
        <f t="shared" si="7"/>
        <v>0</v>
      </c>
      <c r="AB16" s="31">
        <f t="shared" si="7"/>
        <v>0</v>
      </c>
      <c r="AC16" s="31">
        <f t="shared" si="7"/>
        <v>0</v>
      </c>
      <c r="AD16" s="31">
        <f t="shared" si="7"/>
        <v>0</v>
      </c>
      <c r="AE16" s="28">
        <v>0</v>
      </c>
      <c r="AF16" s="27">
        <f t="shared" ref="AF16" si="53">AE16/$C16</f>
        <v>0</v>
      </c>
      <c r="AG16" s="31">
        <f t="shared" si="9"/>
        <v>0</v>
      </c>
      <c r="AH16" s="31">
        <f t="shared" si="9"/>
        <v>0</v>
      </c>
      <c r="AI16" s="31">
        <f t="shared" si="9"/>
        <v>0</v>
      </c>
      <c r="AJ16" s="202">
        <v>250.5</v>
      </c>
      <c r="AK16" s="203">
        <f>AJ16/C16</f>
        <v>31.3125</v>
      </c>
      <c r="AL16" s="202">
        <v>1016.1</v>
      </c>
      <c r="AM16" s="203">
        <f>AL16/$C16</f>
        <v>127.0125</v>
      </c>
      <c r="AN16" s="91">
        <v>0</v>
      </c>
      <c r="AO16" s="89">
        <f t="shared" si="21"/>
        <v>0</v>
      </c>
      <c r="AP16" s="31">
        <f t="shared" ref="AP16" si="54">ROUNDDOWN(AN16*AP$6,1)</f>
        <v>0</v>
      </c>
      <c r="AQ16" s="28"/>
      <c r="AR16" s="27">
        <f t="shared" ref="AR16" si="55">AQ16/$C16</f>
        <v>0</v>
      </c>
      <c r="AS16" s="31">
        <f t="shared" si="23"/>
        <v>0</v>
      </c>
      <c r="AT16" s="31">
        <f t="shared" si="23"/>
        <v>0</v>
      </c>
      <c r="AU16" s="200">
        <v>173.3</v>
      </c>
      <c r="AV16" s="89">
        <f t="shared" ref="AV16" si="56">AU16/C16</f>
        <v>21.662500000000001</v>
      </c>
      <c r="AW16" s="91"/>
      <c r="AX16" s="89">
        <f t="shared" si="25"/>
        <v>0</v>
      </c>
      <c r="AY16" s="200">
        <v>0</v>
      </c>
      <c r="AZ16" s="27">
        <f t="shared" si="12"/>
        <v>0</v>
      </c>
      <c r="BA16" s="137">
        <f t="shared" ref="BA16" si="57">ROUNDDOWN($C16*BB16,1)</f>
        <v>227</v>
      </c>
      <c r="BB16" s="27">
        <f>RCF!I$41</f>
        <v>28.387</v>
      </c>
    </row>
    <row r="17" spans="1:54" x14ac:dyDescent="0.2">
      <c r="A17" s="32" t="s">
        <v>17</v>
      </c>
      <c r="B17" s="33" t="s">
        <v>18</v>
      </c>
      <c r="C17" s="34">
        <v>6</v>
      </c>
      <c r="D17" s="28">
        <f t="shared" si="0"/>
        <v>408.9</v>
      </c>
      <c r="E17" s="89">
        <f>RCF!C$43</f>
        <v>68.141894999999991</v>
      </c>
      <c r="F17" s="91">
        <f t="shared" si="1"/>
        <v>160</v>
      </c>
      <c r="G17" s="27">
        <f t="shared" si="2"/>
        <v>26.666666666666668</v>
      </c>
      <c r="H17" s="91">
        <v>166.3</v>
      </c>
      <c r="I17" s="27">
        <f t="shared" si="2"/>
        <v>27.716666666666669</v>
      </c>
      <c r="J17" s="31">
        <f t="shared" si="3"/>
        <v>182.9</v>
      </c>
      <c r="K17" s="31">
        <f t="shared" si="3"/>
        <v>227.8</v>
      </c>
      <c r="L17" s="31">
        <f t="shared" si="3"/>
        <v>244.5</v>
      </c>
      <c r="M17" s="31">
        <f t="shared" si="3"/>
        <v>269.39999999999998</v>
      </c>
      <c r="N17" s="31">
        <f t="shared" si="3"/>
        <v>332.6</v>
      </c>
      <c r="O17" s="31">
        <f t="shared" si="3"/>
        <v>357.5</v>
      </c>
      <c r="P17" s="31">
        <f t="shared" si="3"/>
        <v>498.9</v>
      </c>
      <c r="Q17" s="137">
        <f>ROUNDDOWN(R17*C17,1)</f>
        <v>171</v>
      </c>
      <c r="R17" s="27">
        <f t="shared" si="50"/>
        <v>28.513333333333332</v>
      </c>
      <c r="S17" s="31">
        <f t="shared" si="14"/>
        <v>222.3</v>
      </c>
      <c r="T17" s="31">
        <f t="shared" si="14"/>
        <v>256.5</v>
      </c>
      <c r="U17" s="91">
        <v>156.5</v>
      </c>
      <c r="V17" s="27">
        <f t="shared" ref="V17" si="58">U17/$C17</f>
        <v>26.083333333333332</v>
      </c>
      <c r="W17" s="91">
        <v>166.7</v>
      </c>
      <c r="X17" s="27">
        <f t="shared" ref="X17" si="59">W17/$C17</f>
        <v>27.783333333333331</v>
      </c>
      <c r="Y17" s="31">
        <f t="shared" si="17"/>
        <v>183.3</v>
      </c>
      <c r="Z17" s="31">
        <f t="shared" si="7"/>
        <v>228.3</v>
      </c>
      <c r="AA17" s="31">
        <f t="shared" si="7"/>
        <v>270</v>
      </c>
      <c r="AB17" s="31">
        <f t="shared" si="7"/>
        <v>245</v>
      </c>
      <c r="AC17" s="31">
        <f t="shared" si="7"/>
        <v>361.7</v>
      </c>
      <c r="AD17" s="31">
        <f t="shared" si="7"/>
        <v>500.1</v>
      </c>
      <c r="AE17" s="137">
        <v>160.69999999999999</v>
      </c>
      <c r="AF17" s="27">
        <f t="shared" ref="AF17" si="60">AE17/$C17</f>
        <v>26.783333333333331</v>
      </c>
      <c r="AG17" s="31">
        <f t="shared" si="9"/>
        <v>265.2</v>
      </c>
      <c r="AH17" s="31">
        <f t="shared" si="9"/>
        <v>337.5</v>
      </c>
      <c r="AI17" s="31">
        <f t="shared" si="9"/>
        <v>482.1</v>
      </c>
      <c r="AJ17" s="91">
        <v>167</v>
      </c>
      <c r="AK17" s="27">
        <f t="shared" si="19"/>
        <v>27.833333333333332</v>
      </c>
      <c r="AL17" s="91">
        <v>225.6</v>
      </c>
      <c r="AM17" s="27">
        <f t="shared" ref="AM17" si="61">AL17/$C17</f>
        <v>37.6</v>
      </c>
      <c r="AN17" s="91">
        <v>179.6</v>
      </c>
      <c r="AO17" s="89">
        <f t="shared" si="21"/>
        <v>29.933333333333334</v>
      </c>
      <c r="AP17" s="31">
        <f t="shared" si="32"/>
        <v>269.39999999999998</v>
      </c>
      <c r="AQ17" s="91">
        <v>167.7</v>
      </c>
      <c r="AR17" s="27">
        <f t="shared" ref="AR17" si="62">AQ17/$C17</f>
        <v>27.95</v>
      </c>
      <c r="AS17" s="31">
        <f t="shared" si="23"/>
        <v>218</v>
      </c>
      <c r="AT17" s="31">
        <f t="shared" si="23"/>
        <v>243.1</v>
      </c>
      <c r="AU17" s="28">
        <v>230.8</v>
      </c>
      <c r="AV17" s="89">
        <f t="shared" si="24"/>
        <v>38.466666666666669</v>
      </c>
      <c r="AW17" s="91">
        <v>175.04400000000001</v>
      </c>
      <c r="AX17" s="89">
        <f t="shared" si="25"/>
        <v>29.174000000000003</v>
      </c>
      <c r="AY17" s="28"/>
      <c r="AZ17" s="27">
        <f t="shared" si="12"/>
        <v>0</v>
      </c>
      <c r="BA17" s="137">
        <f t="shared" si="26"/>
        <v>170.3</v>
      </c>
      <c r="BB17" s="27">
        <f>RCF!I$41</f>
        <v>28.387</v>
      </c>
    </row>
    <row r="18" spans="1:54" x14ac:dyDescent="0.2">
      <c r="A18" s="32" t="s">
        <v>19</v>
      </c>
      <c r="B18" s="33" t="s">
        <v>180</v>
      </c>
      <c r="C18" s="34">
        <v>8</v>
      </c>
      <c r="D18" s="28">
        <f t="shared" si="0"/>
        <v>545.1</v>
      </c>
      <c r="E18" s="89">
        <f>RCF!C$43</f>
        <v>68.141894999999991</v>
      </c>
      <c r="F18" s="91">
        <f t="shared" si="1"/>
        <v>212.9</v>
      </c>
      <c r="G18" s="27">
        <f t="shared" si="2"/>
        <v>26.612500000000001</v>
      </c>
      <c r="H18" s="91">
        <v>221.3</v>
      </c>
      <c r="I18" s="27">
        <f t="shared" si="2"/>
        <v>27.662500000000001</v>
      </c>
      <c r="J18" s="31">
        <f t="shared" si="3"/>
        <v>243.4</v>
      </c>
      <c r="K18" s="31">
        <f t="shared" si="3"/>
        <v>303.2</v>
      </c>
      <c r="L18" s="31">
        <f t="shared" si="3"/>
        <v>325.3</v>
      </c>
      <c r="M18" s="31">
        <f t="shared" si="3"/>
        <v>358.5</v>
      </c>
      <c r="N18" s="31">
        <f t="shared" si="3"/>
        <v>442.6</v>
      </c>
      <c r="O18" s="31">
        <f t="shared" si="3"/>
        <v>475.8</v>
      </c>
      <c r="P18" s="31">
        <f t="shared" si="3"/>
        <v>663.9</v>
      </c>
      <c r="Q18" s="137">
        <f>ROUNDDOWN(R18*C18,1)</f>
        <v>228.1</v>
      </c>
      <c r="R18" s="27">
        <f t="shared" si="50"/>
        <v>28.513333333333332</v>
      </c>
      <c r="S18" s="31">
        <f t="shared" si="14"/>
        <v>296.5</v>
      </c>
      <c r="T18" s="31">
        <f t="shared" si="14"/>
        <v>342.1</v>
      </c>
      <c r="U18" s="91">
        <v>208.7</v>
      </c>
      <c r="V18" s="27">
        <f t="shared" ref="V18" si="63">U18/$C18</f>
        <v>26.087499999999999</v>
      </c>
      <c r="W18" s="91">
        <v>222.2</v>
      </c>
      <c r="X18" s="27">
        <f t="shared" ref="X18" si="64">W18/$C18</f>
        <v>27.774999999999999</v>
      </c>
      <c r="Y18" s="31">
        <f t="shared" si="17"/>
        <v>244.4</v>
      </c>
      <c r="Z18" s="31">
        <f t="shared" si="7"/>
        <v>304.39999999999998</v>
      </c>
      <c r="AA18" s="31">
        <f t="shared" si="7"/>
        <v>359.9</v>
      </c>
      <c r="AB18" s="31">
        <f t="shared" si="7"/>
        <v>326.60000000000002</v>
      </c>
      <c r="AC18" s="31">
        <f t="shared" si="7"/>
        <v>482.1</v>
      </c>
      <c r="AD18" s="31">
        <f t="shared" si="7"/>
        <v>666.6</v>
      </c>
      <c r="AE18" s="137">
        <v>213.7</v>
      </c>
      <c r="AF18" s="27">
        <f t="shared" ref="AF18" si="65">AE18/$C18</f>
        <v>26.712499999999999</v>
      </c>
      <c r="AG18" s="31">
        <f t="shared" si="9"/>
        <v>352.6</v>
      </c>
      <c r="AH18" s="31">
        <f t="shared" si="9"/>
        <v>448.8</v>
      </c>
      <c r="AI18" s="31">
        <f t="shared" si="9"/>
        <v>641.1</v>
      </c>
      <c r="AJ18" s="91">
        <v>222.8</v>
      </c>
      <c r="AK18" s="27">
        <f t="shared" si="19"/>
        <v>27.85</v>
      </c>
      <c r="AL18" s="91">
        <v>300.8</v>
      </c>
      <c r="AM18" s="27">
        <f t="shared" ref="AM18" si="66">AL18/$C18</f>
        <v>37.6</v>
      </c>
      <c r="AN18" s="91">
        <v>239.5</v>
      </c>
      <c r="AO18" s="89">
        <f t="shared" si="21"/>
        <v>29.9375</v>
      </c>
      <c r="AP18" s="31">
        <f t="shared" si="32"/>
        <v>359.2</v>
      </c>
      <c r="AQ18" s="91">
        <v>223.6</v>
      </c>
      <c r="AR18" s="27">
        <f t="shared" ref="AR18" si="67">AQ18/$C18</f>
        <v>27.95</v>
      </c>
      <c r="AS18" s="31">
        <f t="shared" si="23"/>
        <v>290.60000000000002</v>
      </c>
      <c r="AT18" s="31">
        <f t="shared" si="23"/>
        <v>324.2</v>
      </c>
      <c r="AU18" s="28">
        <v>404</v>
      </c>
      <c r="AV18" s="89">
        <f t="shared" si="24"/>
        <v>50.5</v>
      </c>
      <c r="AW18" s="91">
        <v>233.392</v>
      </c>
      <c r="AX18" s="89">
        <f t="shared" si="25"/>
        <v>29.173999999999999</v>
      </c>
      <c r="AY18" s="28"/>
      <c r="AZ18" s="27">
        <f t="shared" si="12"/>
        <v>0</v>
      </c>
      <c r="BA18" s="171">
        <v>173</v>
      </c>
      <c r="BB18" s="27">
        <f t="shared" ref="BB18" si="68">BA18/$C18</f>
        <v>21.625</v>
      </c>
    </row>
    <row r="19" spans="1:54" x14ac:dyDescent="0.2">
      <c r="A19" s="32" t="s">
        <v>20</v>
      </c>
      <c r="B19" s="33" t="s">
        <v>181</v>
      </c>
      <c r="C19" s="34">
        <v>14</v>
      </c>
      <c r="D19" s="28">
        <f t="shared" si="0"/>
        <v>954</v>
      </c>
      <c r="E19" s="89">
        <f>RCF!C$43</f>
        <v>68.141894999999991</v>
      </c>
      <c r="F19" s="91">
        <f t="shared" si="1"/>
        <v>373.3</v>
      </c>
      <c r="G19" s="27">
        <f t="shared" si="2"/>
        <v>26.664285714285715</v>
      </c>
      <c r="H19" s="91">
        <v>387.9</v>
      </c>
      <c r="I19" s="27">
        <f t="shared" si="2"/>
        <v>27.707142857142856</v>
      </c>
      <c r="J19" s="31">
        <f t="shared" si="3"/>
        <v>426.7</v>
      </c>
      <c r="K19" s="31">
        <f t="shared" si="3"/>
        <v>531.4</v>
      </c>
      <c r="L19" s="31">
        <f t="shared" si="3"/>
        <v>570.20000000000005</v>
      </c>
      <c r="M19" s="31">
        <f t="shared" si="3"/>
        <v>628.4</v>
      </c>
      <c r="N19" s="31">
        <f t="shared" si="3"/>
        <v>775.8</v>
      </c>
      <c r="O19" s="31">
        <f t="shared" si="3"/>
        <v>834</v>
      </c>
      <c r="P19" s="31">
        <f t="shared" si="3"/>
        <v>1163.7</v>
      </c>
      <c r="Q19" s="137">
        <f>ROUNDDOWN(R19*C19,1)</f>
        <v>399.1</v>
      </c>
      <c r="R19" s="27">
        <f t="shared" si="50"/>
        <v>28.513333333333332</v>
      </c>
      <c r="S19" s="31">
        <f t="shared" si="14"/>
        <v>518.79999999999995</v>
      </c>
      <c r="T19" s="31">
        <f t="shared" si="14"/>
        <v>598.6</v>
      </c>
      <c r="U19" s="91">
        <v>365.4</v>
      </c>
      <c r="V19" s="27">
        <f t="shared" ref="V19" si="69">U19/$C19</f>
        <v>26.099999999999998</v>
      </c>
      <c r="W19" s="91">
        <v>389.2</v>
      </c>
      <c r="X19" s="27">
        <f t="shared" ref="X19" si="70">W19/$C19</f>
        <v>27.8</v>
      </c>
      <c r="Y19" s="31">
        <f t="shared" si="17"/>
        <v>428.1</v>
      </c>
      <c r="Z19" s="31">
        <f t="shared" si="7"/>
        <v>533.20000000000005</v>
      </c>
      <c r="AA19" s="31">
        <f t="shared" si="7"/>
        <v>630.5</v>
      </c>
      <c r="AB19" s="31">
        <f t="shared" si="7"/>
        <v>572.1</v>
      </c>
      <c r="AC19" s="31">
        <f t="shared" si="7"/>
        <v>844.5</v>
      </c>
      <c r="AD19" s="31">
        <f t="shared" si="7"/>
        <v>1167.5999999999999</v>
      </c>
      <c r="AE19" s="137">
        <v>374.7</v>
      </c>
      <c r="AF19" s="27">
        <f t="shared" ref="AF19" si="71">AE19/$C19</f>
        <v>26.764285714285712</v>
      </c>
      <c r="AG19" s="31">
        <f t="shared" si="9"/>
        <v>618.29999999999995</v>
      </c>
      <c r="AH19" s="31">
        <f t="shared" si="9"/>
        <v>786.9</v>
      </c>
      <c r="AI19" s="31">
        <f t="shared" si="9"/>
        <v>1124.0999999999999</v>
      </c>
      <c r="AJ19" s="91">
        <v>389.7</v>
      </c>
      <c r="AK19" s="27">
        <f t="shared" si="19"/>
        <v>27.835714285714285</v>
      </c>
      <c r="AL19" s="91">
        <v>526.29999999999995</v>
      </c>
      <c r="AM19" s="27">
        <f t="shared" ref="AM19" si="72">AL19/$C19</f>
        <v>37.592857142857142</v>
      </c>
      <c r="AN19" s="91">
        <v>418.7</v>
      </c>
      <c r="AO19" s="89">
        <f t="shared" si="21"/>
        <v>29.907142857142855</v>
      </c>
      <c r="AP19" s="31">
        <f t="shared" si="32"/>
        <v>628</v>
      </c>
      <c r="AQ19" s="91">
        <v>391</v>
      </c>
      <c r="AR19" s="27">
        <f t="shared" ref="AR19" si="73">AQ19/$C19</f>
        <v>27.928571428571427</v>
      </c>
      <c r="AS19" s="31">
        <f t="shared" si="23"/>
        <v>508.3</v>
      </c>
      <c r="AT19" s="31">
        <f t="shared" si="23"/>
        <v>566.9</v>
      </c>
      <c r="AU19" s="28">
        <v>230.8</v>
      </c>
      <c r="AV19" s="89">
        <f t="shared" si="24"/>
        <v>16.485714285714288</v>
      </c>
      <c r="AW19" s="91">
        <v>408.43599999999998</v>
      </c>
      <c r="AX19" s="89">
        <f t="shared" si="25"/>
        <v>29.173999999999999</v>
      </c>
      <c r="AY19" s="28"/>
      <c r="AZ19" s="27">
        <f t="shared" si="12"/>
        <v>0</v>
      </c>
      <c r="BA19" s="137">
        <f t="shared" si="26"/>
        <v>397.4</v>
      </c>
      <c r="BB19" s="27">
        <f>RCF!I$41</f>
        <v>28.387</v>
      </c>
    </row>
    <row r="20" spans="1:54" x14ac:dyDescent="0.2">
      <c r="A20" s="32" t="s">
        <v>21</v>
      </c>
      <c r="B20" s="33" t="s">
        <v>22</v>
      </c>
      <c r="C20" s="34">
        <v>15</v>
      </c>
      <c r="D20" s="28">
        <f t="shared" si="0"/>
        <v>1022.1</v>
      </c>
      <c r="E20" s="89">
        <f>RCF!C$43</f>
        <v>68.141894999999991</v>
      </c>
      <c r="F20" s="91">
        <f t="shared" si="1"/>
        <v>693.3</v>
      </c>
      <c r="G20" s="27">
        <f t="shared" si="2"/>
        <v>46.22</v>
      </c>
      <c r="H20" s="91">
        <v>720.4</v>
      </c>
      <c r="I20" s="27">
        <f t="shared" si="2"/>
        <v>48.026666666666664</v>
      </c>
      <c r="J20" s="31">
        <f t="shared" si="3"/>
        <v>792.4</v>
      </c>
      <c r="K20" s="31">
        <f t="shared" si="3"/>
        <v>986.9</v>
      </c>
      <c r="L20" s="31">
        <f t="shared" si="3"/>
        <v>1059</v>
      </c>
      <c r="M20" s="31">
        <f t="shared" si="3"/>
        <v>1167</v>
      </c>
      <c r="N20" s="31">
        <f t="shared" si="3"/>
        <v>1440.8</v>
      </c>
      <c r="O20" s="31">
        <f t="shared" si="3"/>
        <v>1548.9</v>
      </c>
      <c r="P20" s="31">
        <f t="shared" si="3"/>
        <v>2161.1999999999998</v>
      </c>
      <c r="Q20" s="91">
        <v>741.3</v>
      </c>
      <c r="R20" s="27">
        <f t="shared" ref="R20" si="74">Q20/$C20</f>
        <v>49.419999999999995</v>
      </c>
      <c r="S20" s="31">
        <f t="shared" si="14"/>
        <v>963.6</v>
      </c>
      <c r="T20" s="31">
        <f t="shared" si="14"/>
        <v>1111.9000000000001</v>
      </c>
      <c r="U20" s="91">
        <v>679.6</v>
      </c>
      <c r="V20" s="27">
        <f t="shared" ref="V20" si="75">U20/$C20</f>
        <v>45.306666666666665</v>
      </c>
      <c r="W20" s="91">
        <v>723.9</v>
      </c>
      <c r="X20" s="27">
        <f t="shared" ref="X20" si="76">W20/$C20</f>
        <v>48.26</v>
      </c>
      <c r="Y20" s="31">
        <f t="shared" si="17"/>
        <v>796.2</v>
      </c>
      <c r="Z20" s="31">
        <f t="shared" si="7"/>
        <v>991.7</v>
      </c>
      <c r="AA20" s="31">
        <v>0</v>
      </c>
      <c r="AB20" s="31">
        <f t="shared" si="7"/>
        <v>1064.0999999999999</v>
      </c>
      <c r="AC20" s="31">
        <f t="shared" si="7"/>
        <v>1570.8</v>
      </c>
      <c r="AD20" s="31">
        <f t="shared" si="7"/>
        <v>2171.6999999999998</v>
      </c>
      <c r="AE20" s="28">
        <v>695.2</v>
      </c>
      <c r="AF20" s="27">
        <f t="shared" ref="AF20" si="77">AE20/$C20</f>
        <v>46.346666666666671</v>
      </c>
      <c r="AG20" s="31">
        <f t="shared" si="9"/>
        <v>1147.0999999999999</v>
      </c>
      <c r="AH20" s="31">
        <f t="shared" si="9"/>
        <v>1459.9</v>
      </c>
      <c r="AI20" s="31">
        <f t="shared" si="9"/>
        <v>2085.6</v>
      </c>
      <c r="AJ20" s="91">
        <v>705.2</v>
      </c>
      <c r="AK20" s="27">
        <f t="shared" si="19"/>
        <v>47.013333333333335</v>
      </c>
      <c r="AL20" s="91">
        <v>952.7</v>
      </c>
      <c r="AM20" s="27">
        <f t="shared" ref="AM20" si="78">AL20/$C20</f>
        <v>63.513333333333335</v>
      </c>
      <c r="AN20" s="91">
        <v>777.5</v>
      </c>
      <c r="AO20" s="89">
        <f t="shared" si="21"/>
        <v>51.833333333333336</v>
      </c>
      <c r="AP20" s="31">
        <f t="shared" si="32"/>
        <v>1166.2</v>
      </c>
      <c r="AQ20" s="28">
        <v>726.3</v>
      </c>
      <c r="AR20" s="27">
        <f t="shared" ref="AR20" si="79">AQ20/$C20</f>
        <v>48.419999999999995</v>
      </c>
      <c r="AS20" s="31">
        <f t="shared" si="23"/>
        <v>944.1</v>
      </c>
      <c r="AT20" s="31">
        <f t="shared" si="23"/>
        <v>1053.0999999999999</v>
      </c>
      <c r="AU20" s="28">
        <v>750.4</v>
      </c>
      <c r="AV20" s="89">
        <f t="shared" si="24"/>
        <v>50.026666666666664</v>
      </c>
      <c r="AW20" s="91">
        <v>758.524</v>
      </c>
      <c r="AX20" s="89">
        <f t="shared" si="25"/>
        <v>50.568266666666666</v>
      </c>
      <c r="AY20" s="28"/>
      <c r="AZ20" s="27">
        <f t="shared" si="12"/>
        <v>0</v>
      </c>
      <c r="BA20" s="91">
        <v>737.9</v>
      </c>
      <c r="BB20" s="27">
        <f t="shared" ref="BB20" si="80">BA20/$C20</f>
        <v>49.193333333333335</v>
      </c>
    </row>
    <row r="21" spans="1:54" x14ac:dyDescent="0.2">
      <c r="A21" s="32" t="s">
        <v>23</v>
      </c>
      <c r="B21" s="33" t="s">
        <v>22</v>
      </c>
      <c r="C21" s="34">
        <v>30</v>
      </c>
      <c r="D21" s="28">
        <f t="shared" si="0"/>
        <v>2044.3</v>
      </c>
      <c r="E21" s="89">
        <f>RCF!C$43</f>
        <v>68.141894999999991</v>
      </c>
      <c r="F21" s="91">
        <f t="shared" si="1"/>
        <v>693.3</v>
      </c>
      <c r="G21" s="27">
        <f t="shared" si="2"/>
        <v>23.11</v>
      </c>
      <c r="H21" s="91">
        <v>720.4</v>
      </c>
      <c r="I21" s="27">
        <f t="shared" si="2"/>
        <v>24.013333333333332</v>
      </c>
      <c r="J21" s="31">
        <f t="shared" si="3"/>
        <v>792.4</v>
      </c>
      <c r="K21" s="31">
        <f t="shared" si="3"/>
        <v>986.9</v>
      </c>
      <c r="L21" s="31">
        <f t="shared" si="3"/>
        <v>1059</v>
      </c>
      <c r="M21" s="31">
        <f t="shared" si="3"/>
        <v>1167</v>
      </c>
      <c r="N21" s="31">
        <f t="shared" si="3"/>
        <v>1440.8</v>
      </c>
      <c r="O21" s="31">
        <f t="shared" si="3"/>
        <v>1548.9</v>
      </c>
      <c r="P21" s="31">
        <f t="shared" si="3"/>
        <v>2161.1999999999998</v>
      </c>
      <c r="Q21" s="91">
        <v>741.3</v>
      </c>
      <c r="R21" s="27">
        <f t="shared" ref="R21" si="81">Q21/$C21</f>
        <v>24.709999999999997</v>
      </c>
      <c r="S21" s="31">
        <f t="shared" si="14"/>
        <v>963.6</v>
      </c>
      <c r="T21" s="31">
        <f t="shared" si="14"/>
        <v>1111.9000000000001</v>
      </c>
      <c r="U21" s="91">
        <v>679.6</v>
      </c>
      <c r="V21" s="27">
        <f t="shared" ref="V21" si="82">U21/$C21</f>
        <v>22.653333333333332</v>
      </c>
      <c r="W21" s="91">
        <v>723.9</v>
      </c>
      <c r="X21" s="27">
        <f t="shared" ref="X21" si="83">W21/$C21</f>
        <v>24.13</v>
      </c>
      <c r="Y21" s="31">
        <f t="shared" si="17"/>
        <v>796.2</v>
      </c>
      <c r="Z21" s="31">
        <f t="shared" si="7"/>
        <v>991.7</v>
      </c>
      <c r="AA21" s="31">
        <v>0</v>
      </c>
      <c r="AB21" s="31">
        <f t="shared" si="7"/>
        <v>1064.0999999999999</v>
      </c>
      <c r="AC21" s="31">
        <f t="shared" si="7"/>
        <v>1570.8</v>
      </c>
      <c r="AD21" s="31">
        <f t="shared" si="7"/>
        <v>2171.6999999999998</v>
      </c>
      <c r="AE21" s="28">
        <v>695.2</v>
      </c>
      <c r="AF21" s="27">
        <f t="shared" ref="AF21" si="84">AE21/$C21</f>
        <v>23.173333333333336</v>
      </c>
      <c r="AG21" s="31">
        <f t="shared" si="9"/>
        <v>1147.0999999999999</v>
      </c>
      <c r="AH21" s="31">
        <f t="shared" si="9"/>
        <v>1459.9</v>
      </c>
      <c r="AI21" s="31">
        <f t="shared" si="9"/>
        <v>2085.6</v>
      </c>
      <c r="AJ21" s="91">
        <v>705.2</v>
      </c>
      <c r="AK21" s="27">
        <f t="shared" si="19"/>
        <v>23.506666666666668</v>
      </c>
      <c r="AL21" s="91">
        <v>952.7</v>
      </c>
      <c r="AM21" s="27">
        <f t="shared" ref="AM21" si="85">AL21/$C21</f>
        <v>31.756666666666668</v>
      </c>
      <c r="AN21" s="91">
        <v>777.5</v>
      </c>
      <c r="AO21" s="89">
        <f t="shared" si="21"/>
        <v>25.916666666666668</v>
      </c>
      <c r="AP21" s="31">
        <f t="shared" si="32"/>
        <v>1166.2</v>
      </c>
      <c r="AQ21" s="28">
        <v>726.3</v>
      </c>
      <c r="AR21" s="27">
        <f t="shared" ref="AR21" si="86">AQ21/$C21</f>
        <v>24.209999999999997</v>
      </c>
      <c r="AS21" s="31">
        <f t="shared" si="23"/>
        <v>944.1</v>
      </c>
      <c r="AT21" s="31">
        <f t="shared" si="23"/>
        <v>1053.0999999999999</v>
      </c>
      <c r="AU21" s="28">
        <v>750.4</v>
      </c>
      <c r="AV21" s="89">
        <f t="shared" si="24"/>
        <v>25.013333333333332</v>
      </c>
      <c r="AW21" s="91">
        <v>758.524</v>
      </c>
      <c r="AX21" s="89">
        <f t="shared" si="25"/>
        <v>25.284133333333333</v>
      </c>
      <c r="AY21" s="28"/>
      <c r="AZ21" s="27">
        <f t="shared" si="12"/>
        <v>0</v>
      </c>
      <c r="BA21" s="91">
        <v>737.9</v>
      </c>
      <c r="BB21" s="27">
        <f t="shared" ref="BB21" si="87">BA21/$C21</f>
        <v>24.596666666666668</v>
      </c>
    </row>
    <row r="22" spans="1:54" x14ac:dyDescent="0.2">
      <c r="A22" s="32" t="s">
        <v>24</v>
      </c>
      <c r="B22" s="33" t="s">
        <v>22</v>
      </c>
      <c r="C22" s="34">
        <v>45</v>
      </c>
      <c r="D22" s="28">
        <f t="shared" si="0"/>
        <v>3066.4</v>
      </c>
      <c r="E22" s="89">
        <f>RCF!C$43</f>
        <v>68.141894999999991</v>
      </c>
      <c r="F22" s="91">
        <f t="shared" si="1"/>
        <v>693.3</v>
      </c>
      <c r="G22" s="27">
        <f t="shared" si="2"/>
        <v>15.406666666666666</v>
      </c>
      <c r="H22" s="91">
        <v>720.4</v>
      </c>
      <c r="I22" s="27">
        <f t="shared" si="2"/>
        <v>16.008888888888887</v>
      </c>
      <c r="J22" s="31">
        <f t="shared" si="3"/>
        <v>792.4</v>
      </c>
      <c r="K22" s="31">
        <f t="shared" si="3"/>
        <v>986.9</v>
      </c>
      <c r="L22" s="31">
        <f t="shared" si="3"/>
        <v>1059</v>
      </c>
      <c r="M22" s="31">
        <f t="shared" si="3"/>
        <v>1167</v>
      </c>
      <c r="N22" s="31">
        <f t="shared" si="3"/>
        <v>1440.8</v>
      </c>
      <c r="O22" s="31">
        <f t="shared" si="3"/>
        <v>1548.9</v>
      </c>
      <c r="P22" s="31">
        <f t="shared" si="3"/>
        <v>2161.1999999999998</v>
      </c>
      <c r="Q22" s="91">
        <v>741.3</v>
      </c>
      <c r="R22" s="27">
        <f t="shared" ref="R22" si="88">Q22/$C22</f>
        <v>16.473333333333333</v>
      </c>
      <c r="S22" s="31">
        <f t="shared" si="14"/>
        <v>963.6</v>
      </c>
      <c r="T22" s="31">
        <f t="shared" si="14"/>
        <v>1111.9000000000001</v>
      </c>
      <c r="U22" s="91">
        <v>679.6</v>
      </c>
      <c r="V22" s="27">
        <f t="shared" ref="V22" si="89">U22/$C22</f>
        <v>15.102222222222222</v>
      </c>
      <c r="W22" s="91">
        <v>723.9</v>
      </c>
      <c r="X22" s="27">
        <f t="shared" ref="X22" si="90">W22/$C22</f>
        <v>16.086666666666666</v>
      </c>
      <c r="Y22" s="31">
        <f t="shared" si="17"/>
        <v>796.2</v>
      </c>
      <c r="Z22" s="31">
        <f t="shared" si="7"/>
        <v>991.7</v>
      </c>
      <c r="AA22" s="31">
        <v>0</v>
      </c>
      <c r="AB22" s="31">
        <f t="shared" si="7"/>
        <v>1064.0999999999999</v>
      </c>
      <c r="AC22" s="31">
        <f t="shared" si="7"/>
        <v>1570.8</v>
      </c>
      <c r="AD22" s="31">
        <f t="shared" si="7"/>
        <v>2171.6999999999998</v>
      </c>
      <c r="AE22" s="28">
        <v>695.2</v>
      </c>
      <c r="AF22" s="27">
        <f t="shared" ref="AF22" si="91">AE22/$C22</f>
        <v>15.44888888888889</v>
      </c>
      <c r="AG22" s="31">
        <f t="shared" si="9"/>
        <v>1147.0999999999999</v>
      </c>
      <c r="AH22" s="31">
        <f t="shared" si="9"/>
        <v>1459.9</v>
      </c>
      <c r="AI22" s="31">
        <f t="shared" si="9"/>
        <v>2085.6</v>
      </c>
      <c r="AJ22" s="91">
        <v>705.2</v>
      </c>
      <c r="AK22" s="27">
        <f t="shared" si="19"/>
        <v>15.671111111111113</v>
      </c>
      <c r="AL22" s="91">
        <v>952.7</v>
      </c>
      <c r="AM22" s="27">
        <f t="shared" ref="AM22" si="92">AL22/$C22</f>
        <v>21.171111111111113</v>
      </c>
      <c r="AN22" s="91">
        <v>777.5</v>
      </c>
      <c r="AO22" s="89">
        <f t="shared" si="21"/>
        <v>17.277777777777779</v>
      </c>
      <c r="AP22" s="31">
        <f t="shared" si="32"/>
        <v>1166.2</v>
      </c>
      <c r="AQ22" s="28">
        <v>726.3</v>
      </c>
      <c r="AR22" s="27">
        <f t="shared" ref="AR22" si="93">AQ22/$C22</f>
        <v>16.14</v>
      </c>
      <c r="AS22" s="31">
        <f t="shared" si="23"/>
        <v>944.1</v>
      </c>
      <c r="AT22" s="31">
        <f t="shared" si="23"/>
        <v>1053.0999999999999</v>
      </c>
      <c r="AU22" s="28">
        <v>750.4</v>
      </c>
      <c r="AV22" s="89">
        <f t="shared" si="24"/>
        <v>16.675555555555555</v>
      </c>
      <c r="AW22" s="91">
        <v>758.524</v>
      </c>
      <c r="AX22" s="89">
        <f t="shared" si="25"/>
        <v>16.856088888888888</v>
      </c>
      <c r="AY22" s="28"/>
      <c r="AZ22" s="27">
        <f t="shared" si="12"/>
        <v>0</v>
      </c>
      <c r="BA22" s="91">
        <v>737.9</v>
      </c>
      <c r="BB22" s="27">
        <f t="shared" ref="BB22" si="94">BA22/$C22</f>
        <v>16.397777777777776</v>
      </c>
    </row>
    <row r="23" spans="1:54" x14ac:dyDescent="0.2">
      <c r="A23" s="32" t="s">
        <v>25</v>
      </c>
      <c r="B23" s="33" t="s">
        <v>26</v>
      </c>
      <c r="C23" s="34">
        <v>15</v>
      </c>
      <c r="D23" s="28">
        <f t="shared" si="0"/>
        <v>1022.1</v>
      </c>
      <c r="E23" s="89">
        <f>RCF!C$43</f>
        <v>68.141894999999991</v>
      </c>
      <c r="F23" s="91">
        <f t="shared" si="1"/>
        <v>693.3</v>
      </c>
      <c r="G23" s="27">
        <f t="shared" si="2"/>
        <v>46.22</v>
      </c>
      <c r="H23" s="91">
        <v>720.4</v>
      </c>
      <c r="I23" s="27">
        <f t="shared" si="2"/>
        <v>48.026666666666664</v>
      </c>
      <c r="J23" s="31">
        <f t="shared" si="3"/>
        <v>792.4</v>
      </c>
      <c r="K23" s="31">
        <f t="shared" si="3"/>
        <v>986.9</v>
      </c>
      <c r="L23" s="31">
        <f t="shared" si="3"/>
        <v>1059</v>
      </c>
      <c r="M23" s="31">
        <f t="shared" si="3"/>
        <v>1167</v>
      </c>
      <c r="N23" s="31">
        <f t="shared" si="3"/>
        <v>1440.8</v>
      </c>
      <c r="O23" s="31">
        <f t="shared" si="3"/>
        <v>1548.9</v>
      </c>
      <c r="P23" s="31">
        <f t="shared" si="3"/>
        <v>2161.1999999999998</v>
      </c>
      <c r="Q23" s="91">
        <v>741.3</v>
      </c>
      <c r="R23" s="27">
        <f t="shared" ref="R23" si="95">Q23/$C23</f>
        <v>49.419999999999995</v>
      </c>
      <c r="S23" s="31">
        <f t="shared" si="14"/>
        <v>963.6</v>
      </c>
      <c r="T23" s="31">
        <f t="shared" si="14"/>
        <v>1111.9000000000001</v>
      </c>
      <c r="U23" s="91">
        <v>717.3</v>
      </c>
      <c r="V23" s="27">
        <f t="shared" ref="V23" si="96">U23/$C23</f>
        <v>47.82</v>
      </c>
      <c r="W23" s="91">
        <v>763.8</v>
      </c>
      <c r="X23" s="27">
        <f t="shared" ref="X23" si="97">W23/$C23</f>
        <v>50.919999999999995</v>
      </c>
      <c r="Y23" s="31">
        <f t="shared" si="17"/>
        <v>840.1</v>
      </c>
      <c r="Z23" s="31">
        <v>0</v>
      </c>
      <c r="AA23" s="31">
        <f t="shared" si="7"/>
        <v>1237.3</v>
      </c>
      <c r="AB23" s="31">
        <f t="shared" si="7"/>
        <v>1122.7</v>
      </c>
      <c r="AC23" s="31">
        <f t="shared" si="7"/>
        <v>1657.4</v>
      </c>
      <c r="AD23" s="31">
        <f t="shared" si="7"/>
        <v>2291.4</v>
      </c>
      <c r="AE23" s="28">
        <v>695.2</v>
      </c>
      <c r="AF23" s="27">
        <f t="shared" ref="AF23" si="98">AE23/$C23</f>
        <v>46.346666666666671</v>
      </c>
      <c r="AG23" s="31">
        <f t="shared" si="9"/>
        <v>1147.0999999999999</v>
      </c>
      <c r="AH23" s="31">
        <f t="shared" si="9"/>
        <v>1459.9</v>
      </c>
      <c r="AI23" s="31">
        <f t="shared" si="9"/>
        <v>2085.6</v>
      </c>
      <c r="AJ23" s="91">
        <v>712</v>
      </c>
      <c r="AK23" s="27">
        <f t="shared" si="19"/>
        <v>47.466666666666669</v>
      </c>
      <c r="AL23" s="91">
        <v>990.3</v>
      </c>
      <c r="AM23" s="27">
        <f t="shared" ref="AM23" si="99">AL23/$C23</f>
        <v>66.02</v>
      </c>
      <c r="AN23" s="91">
        <v>777.5</v>
      </c>
      <c r="AO23" s="89">
        <f t="shared" si="21"/>
        <v>51.833333333333336</v>
      </c>
      <c r="AP23" s="31">
        <f t="shared" si="32"/>
        <v>1166.2</v>
      </c>
      <c r="AQ23" s="28">
        <v>726.3</v>
      </c>
      <c r="AR23" s="27">
        <f t="shared" ref="AR23" si="100">AQ23/$C23</f>
        <v>48.419999999999995</v>
      </c>
      <c r="AS23" s="31">
        <f t="shared" si="23"/>
        <v>944.1</v>
      </c>
      <c r="AT23" s="31">
        <f t="shared" si="23"/>
        <v>1053.0999999999999</v>
      </c>
      <c r="AU23" s="28">
        <v>750.4</v>
      </c>
      <c r="AV23" s="89">
        <f t="shared" si="24"/>
        <v>50.026666666666664</v>
      </c>
      <c r="AW23" s="91">
        <v>758.524</v>
      </c>
      <c r="AX23" s="89">
        <f t="shared" si="25"/>
        <v>50.568266666666666</v>
      </c>
      <c r="AY23" s="28"/>
      <c r="AZ23" s="27">
        <f t="shared" si="12"/>
        <v>0</v>
      </c>
      <c r="BA23" s="91">
        <v>737.9</v>
      </c>
      <c r="BB23" s="27">
        <f t="shared" ref="BB23" si="101">BA23/$C23</f>
        <v>49.193333333333335</v>
      </c>
    </row>
    <row r="24" spans="1:54" x14ac:dyDescent="0.2">
      <c r="A24" s="32" t="s">
        <v>27</v>
      </c>
      <c r="B24" s="33" t="s">
        <v>26</v>
      </c>
      <c r="C24" s="34">
        <v>30</v>
      </c>
      <c r="D24" s="28">
        <f t="shared" si="0"/>
        <v>2044.3</v>
      </c>
      <c r="E24" s="89">
        <f>RCF!C$43</f>
        <v>68.141894999999991</v>
      </c>
      <c r="F24" s="91">
        <f t="shared" si="1"/>
        <v>693.3</v>
      </c>
      <c r="G24" s="27">
        <f t="shared" si="2"/>
        <v>23.11</v>
      </c>
      <c r="H24" s="91">
        <v>720.4</v>
      </c>
      <c r="I24" s="27">
        <f t="shared" si="2"/>
        <v>24.013333333333332</v>
      </c>
      <c r="J24" s="31">
        <f t="shared" si="3"/>
        <v>792.4</v>
      </c>
      <c r="K24" s="31">
        <f t="shared" si="3"/>
        <v>986.9</v>
      </c>
      <c r="L24" s="31">
        <f t="shared" si="3"/>
        <v>1059</v>
      </c>
      <c r="M24" s="31">
        <f t="shared" si="3"/>
        <v>1167</v>
      </c>
      <c r="N24" s="31">
        <f t="shared" si="3"/>
        <v>1440.8</v>
      </c>
      <c r="O24" s="31">
        <f t="shared" si="3"/>
        <v>1548.9</v>
      </c>
      <c r="P24" s="31">
        <f t="shared" si="3"/>
        <v>2161.1999999999998</v>
      </c>
      <c r="Q24" s="91">
        <v>741.3</v>
      </c>
      <c r="R24" s="27">
        <f t="shared" ref="R24" si="102">Q24/$C24</f>
        <v>24.709999999999997</v>
      </c>
      <c r="S24" s="31">
        <f t="shared" si="14"/>
        <v>963.6</v>
      </c>
      <c r="T24" s="31">
        <f t="shared" si="14"/>
        <v>1111.9000000000001</v>
      </c>
      <c r="U24" s="91">
        <v>717.3</v>
      </c>
      <c r="V24" s="27">
        <f t="shared" ref="V24" si="103">U24/$C24</f>
        <v>23.91</v>
      </c>
      <c r="W24" s="91">
        <v>763.8</v>
      </c>
      <c r="X24" s="27">
        <f t="shared" ref="X24" si="104">W24/$C24</f>
        <v>25.459999999999997</v>
      </c>
      <c r="Y24" s="31">
        <f t="shared" si="17"/>
        <v>840.1</v>
      </c>
      <c r="Z24" s="31">
        <v>0</v>
      </c>
      <c r="AA24" s="31">
        <f t="shared" si="7"/>
        <v>1237.3</v>
      </c>
      <c r="AB24" s="31">
        <f t="shared" si="7"/>
        <v>1122.7</v>
      </c>
      <c r="AC24" s="31">
        <f t="shared" si="7"/>
        <v>1657.4</v>
      </c>
      <c r="AD24" s="31">
        <f t="shared" si="7"/>
        <v>2291.4</v>
      </c>
      <c r="AE24" s="28">
        <v>695.2</v>
      </c>
      <c r="AF24" s="27">
        <f t="shared" ref="AF24" si="105">AE24/$C24</f>
        <v>23.173333333333336</v>
      </c>
      <c r="AG24" s="31">
        <f t="shared" si="9"/>
        <v>1147.0999999999999</v>
      </c>
      <c r="AH24" s="31">
        <f t="shared" si="9"/>
        <v>1459.9</v>
      </c>
      <c r="AI24" s="31">
        <f t="shared" si="9"/>
        <v>2085.6</v>
      </c>
      <c r="AJ24" s="91">
        <v>712</v>
      </c>
      <c r="AK24" s="27">
        <f t="shared" si="19"/>
        <v>23.733333333333334</v>
      </c>
      <c r="AL24" s="91">
        <v>990.3</v>
      </c>
      <c r="AM24" s="27">
        <f t="shared" ref="AM24" si="106">AL24/$C24</f>
        <v>33.01</v>
      </c>
      <c r="AN24" s="91">
        <v>777.5</v>
      </c>
      <c r="AO24" s="89">
        <f t="shared" si="21"/>
        <v>25.916666666666668</v>
      </c>
      <c r="AP24" s="31">
        <f t="shared" si="32"/>
        <v>1166.2</v>
      </c>
      <c r="AQ24" s="28">
        <v>726.3</v>
      </c>
      <c r="AR24" s="27">
        <f t="shared" ref="AR24" si="107">AQ24/$C24</f>
        <v>24.209999999999997</v>
      </c>
      <c r="AS24" s="31">
        <f t="shared" si="23"/>
        <v>944.1</v>
      </c>
      <c r="AT24" s="31">
        <f t="shared" si="23"/>
        <v>1053.0999999999999</v>
      </c>
      <c r="AU24" s="28">
        <v>750.4</v>
      </c>
      <c r="AV24" s="89">
        <f t="shared" si="24"/>
        <v>25.013333333333332</v>
      </c>
      <c r="AW24" s="91">
        <v>758.524</v>
      </c>
      <c r="AX24" s="89">
        <f t="shared" si="25"/>
        <v>25.284133333333333</v>
      </c>
      <c r="AY24" s="28"/>
      <c r="AZ24" s="27">
        <f t="shared" si="12"/>
        <v>0</v>
      </c>
      <c r="BA24" s="91">
        <v>737.9</v>
      </c>
      <c r="BB24" s="27">
        <f t="shared" ref="BB24" si="108">BA24/$C24</f>
        <v>24.596666666666668</v>
      </c>
    </row>
    <row r="25" spans="1:54" x14ac:dyDescent="0.2">
      <c r="A25" s="32" t="s">
        <v>28</v>
      </c>
      <c r="B25" s="33" t="s">
        <v>26</v>
      </c>
      <c r="C25" s="34">
        <v>45</v>
      </c>
      <c r="D25" s="28">
        <f t="shared" si="0"/>
        <v>3066.4</v>
      </c>
      <c r="E25" s="89">
        <f>RCF!C$43</f>
        <v>68.141894999999991</v>
      </c>
      <c r="F25" s="91">
        <f t="shared" si="1"/>
        <v>693.3</v>
      </c>
      <c r="G25" s="27">
        <f t="shared" si="2"/>
        <v>15.406666666666666</v>
      </c>
      <c r="H25" s="91">
        <v>720.4</v>
      </c>
      <c r="I25" s="27">
        <f t="shared" si="2"/>
        <v>16.008888888888887</v>
      </c>
      <c r="J25" s="31">
        <f t="shared" si="3"/>
        <v>792.4</v>
      </c>
      <c r="K25" s="31">
        <f t="shared" si="3"/>
        <v>986.9</v>
      </c>
      <c r="L25" s="31">
        <f t="shared" si="3"/>
        <v>1059</v>
      </c>
      <c r="M25" s="31">
        <f t="shared" si="3"/>
        <v>1167</v>
      </c>
      <c r="N25" s="31">
        <f t="shared" si="3"/>
        <v>1440.8</v>
      </c>
      <c r="O25" s="31">
        <f t="shared" si="3"/>
        <v>1548.9</v>
      </c>
      <c r="P25" s="31">
        <f t="shared" si="3"/>
        <v>2161.1999999999998</v>
      </c>
      <c r="Q25" s="91">
        <v>741.3</v>
      </c>
      <c r="R25" s="27">
        <f t="shared" ref="R25" si="109">Q25/$C25</f>
        <v>16.473333333333333</v>
      </c>
      <c r="S25" s="31">
        <f t="shared" si="14"/>
        <v>963.6</v>
      </c>
      <c r="T25" s="31">
        <f t="shared" si="14"/>
        <v>1111.9000000000001</v>
      </c>
      <c r="U25" s="91">
        <v>717.3</v>
      </c>
      <c r="V25" s="27">
        <f t="shared" ref="V25" si="110">U25/$C25</f>
        <v>15.94</v>
      </c>
      <c r="W25" s="91">
        <v>763.8</v>
      </c>
      <c r="X25" s="27">
        <f t="shared" ref="X25" si="111">W25/$C25</f>
        <v>16.973333333333333</v>
      </c>
      <c r="Y25" s="31">
        <f t="shared" si="17"/>
        <v>840.1</v>
      </c>
      <c r="Z25" s="31">
        <v>0</v>
      </c>
      <c r="AA25" s="31">
        <f t="shared" si="7"/>
        <v>1237.3</v>
      </c>
      <c r="AB25" s="31">
        <f t="shared" si="7"/>
        <v>1122.7</v>
      </c>
      <c r="AC25" s="31">
        <f t="shared" si="7"/>
        <v>1657.4</v>
      </c>
      <c r="AD25" s="31">
        <f t="shared" si="7"/>
        <v>2291.4</v>
      </c>
      <c r="AE25" s="28">
        <v>695.2</v>
      </c>
      <c r="AF25" s="27">
        <f t="shared" ref="AF25" si="112">AE25/$C25</f>
        <v>15.44888888888889</v>
      </c>
      <c r="AG25" s="31">
        <f t="shared" si="9"/>
        <v>1147.0999999999999</v>
      </c>
      <c r="AH25" s="31">
        <f t="shared" si="9"/>
        <v>1459.9</v>
      </c>
      <c r="AI25" s="31">
        <f t="shared" si="9"/>
        <v>2085.6</v>
      </c>
      <c r="AJ25" s="91">
        <v>712</v>
      </c>
      <c r="AK25" s="27">
        <f t="shared" si="19"/>
        <v>15.822222222222223</v>
      </c>
      <c r="AL25" s="91">
        <v>990.3</v>
      </c>
      <c r="AM25" s="27">
        <f t="shared" ref="AM25" si="113">AL25/$C25</f>
        <v>22.006666666666664</v>
      </c>
      <c r="AN25" s="91">
        <v>777.5</v>
      </c>
      <c r="AO25" s="89">
        <f t="shared" si="21"/>
        <v>17.277777777777779</v>
      </c>
      <c r="AP25" s="31">
        <f t="shared" si="32"/>
        <v>1166.2</v>
      </c>
      <c r="AQ25" s="28">
        <v>726.3</v>
      </c>
      <c r="AR25" s="27">
        <f t="shared" ref="AR25" si="114">AQ25/$C25</f>
        <v>16.14</v>
      </c>
      <c r="AS25" s="31">
        <f t="shared" si="23"/>
        <v>944.1</v>
      </c>
      <c r="AT25" s="31">
        <f t="shared" si="23"/>
        <v>1053.0999999999999</v>
      </c>
      <c r="AU25" s="28">
        <v>750.4</v>
      </c>
      <c r="AV25" s="89">
        <f t="shared" si="24"/>
        <v>16.675555555555555</v>
      </c>
      <c r="AW25" s="91">
        <v>758.524</v>
      </c>
      <c r="AX25" s="89">
        <f t="shared" si="25"/>
        <v>16.856088888888888</v>
      </c>
      <c r="AY25" s="28"/>
      <c r="AZ25" s="27">
        <f t="shared" si="12"/>
        <v>0</v>
      </c>
      <c r="BA25" s="91">
        <v>737.9</v>
      </c>
      <c r="BB25" s="27">
        <f t="shared" ref="BB25" si="115">BA25/$C25</f>
        <v>16.397777777777776</v>
      </c>
    </row>
    <row r="26" spans="1:54" s="205" customFormat="1" x14ac:dyDescent="0.2">
      <c r="A26" s="197" t="s">
        <v>157</v>
      </c>
      <c r="B26" s="198" t="s">
        <v>26</v>
      </c>
      <c r="C26" s="199">
        <v>63.6</v>
      </c>
      <c r="D26" s="200">
        <f t="shared" ref="D26" si="116">ROUND(E26*C26,1)</f>
        <v>4333.8</v>
      </c>
      <c r="E26" s="201">
        <f>RCF!C$43</f>
        <v>68.141894999999991</v>
      </c>
      <c r="F26" s="202">
        <f t="shared" si="1"/>
        <v>693.3</v>
      </c>
      <c r="G26" s="203">
        <f t="shared" ref="G26" si="117">F26/$C26</f>
        <v>10.900943396226413</v>
      </c>
      <c r="H26" s="202">
        <v>720.4</v>
      </c>
      <c r="I26" s="203">
        <f t="shared" ref="I26" si="118">H26/$C26</f>
        <v>11.327044025157232</v>
      </c>
      <c r="J26" s="204">
        <f t="shared" si="3"/>
        <v>792.4</v>
      </c>
      <c r="K26" s="204">
        <f t="shared" si="3"/>
        <v>986.9</v>
      </c>
      <c r="L26" s="204">
        <f t="shared" si="3"/>
        <v>1059</v>
      </c>
      <c r="M26" s="204">
        <f t="shared" si="3"/>
        <v>1167</v>
      </c>
      <c r="N26" s="204">
        <f t="shared" si="3"/>
        <v>1440.8</v>
      </c>
      <c r="O26" s="204">
        <f t="shared" si="3"/>
        <v>1548.9</v>
      </c>
      <c r="P26" s="204">
        <f t="shared" si="3"/>
        <v>2161.1999999999998</v>
      </c>
      <c r="Q26" s="202">
        <v>0</v>
      </c>
      <c r="R26" s="203">
        <f t="shared" ref="R26" si="119">Q26/$C26</f>
        <v>0</v>
      </c>
      <c r="S26" s="204">
        <f t="shared" si="14"/>
        <v>0</v>
      </c>
      <c r="T26" s="204">
        <f t="shared" si="14"/>
        <v>0</v>
      </c>
      <c r="U26" s="202">
        <v>717.3</v>
      </c>
      <c r="V26" s="203">
        <f t="shared" ref="V26" si="120">U26/$C26</f>
        <v>11.278301886792452</v>
      </c>
      <c r="W26" s="202">
        <v>763.8</v>
      </c>
      <c r="X26" s="203">
        <f t="shared" ref="X26" si="121">W26/$C26</f>
        <v>12.009433962264151</v>
      </c>
      <c r="Y26" s="204">
        <f t="shared" si="17"/>
        <v>840.1</v>
      </c>
      <c r="Z26" s="204">
        <v>0</v>
      </c>
      <c r="AA26" s="204">
        <f t="shared" si="7"/>
        <v>1237.3</v>
      </c>
      <c r="AB26" s="204">
        <f t="shared" si="7"/>
        <v>1122.7</v>
      </c>
      <c r="AC26" s="204">
        <f t="shared" si="7"/>
        <v>1657.4</v>
      </c>
      <c r="AD26" s="204">
        <f t="shared" si="7"/>
        <v>2291.4</v>
      </c>
      <c r="AE26" s="200"/>
      <c r="AF26" s="203">
        <f t="shared" ref="AF26" si="122">AE26/$C26</f>
        <v>0</v>
      </c>
      <c r="AG26" s="204">
        <f t="shared" si="9"/>
        <v>0</v>
      </c>
      <c r="AH26" s="204">
        <f t="shared" si="9"/>
        <v>0</v>
      </c>
      <c r="AI26" s="204">
        <f t="shared" si="9"/>
        <v>0</v>
      </c>
      <c r="AJ26" s="202">
        <v>712</v>
      </c>
      <c r="AK26" s="203">
        <f t="shared" ref="AK26" si="123">AJ26/C26</f>
        <v>11.19496855345912</v>
      </c>
      <c r="AL26" s="202">
        <v>990.3</v>
      </c>
      <c r="AM26" s="203">
        <f t="shared" ref="AM26" si="124">AL26/$C26</f>
        <v>15.570754716981131</v>
      </c>
      <c r="AN26" s="91">
        <v>0</v>
      </c>
      <c r="AO26" s="89">
        <f t="shared" si="21"/>
        <v>0</v>
      </c>
      <c r="AP26" s="204">
        <f t="shared" ref="AP26" si="125">ROUNDDOWN(AN26*AP$6,1)</f>
        <v>0</v>
      </c>
      <c r="AQ26" s="200">
        <v>0</v>
      </c>
      <c r="AR26" s="203">
        <f t="shared" ref="AR26" si="126">AQ26/$C26</f>
        <v>0</v>
      </c>
      <c r="AS26" s="204">
        <f t="shared" si="23"/>
        <v>0</v>
      </c>
      <c r="AT26" s="204">
        <f t="shared" si="23"/>
        <v>0</v>
      </c>
      <c r="AU26" s="200">
        <v>750.4</v>
      </c>
      <c r="AV26" s="201">
        <f t="shared" ref="AV26" si="127">AU26/C26</f>
        <v>11.79874213836478</v>
      </c>
      <c r="AW26" s="202">
        <v>0</v>
      </c>
      <c r="AX26" s="89">
        <f t="shared" si="25"/>
        <v>0</v>
      </c>
      <c r="AY26" s="200"/>
      <c r="AZ26" s="203">
        <f t="shared" si="12"/>
        <v>0</v>
      </c>
      <c r="BA26" s="202">
        <v>0</v>
      </c>
      <c r="BB26" s="203">
        <f t="shared" ref="BB26" si="128">BA26/$C26</f>
        <v>0</v>
      </c>
    </row>
    <row r="27" spans="1:54" x14ac:dyDescent="0.2">
      <c r="A27" s="32" t="s">
        <v>29</v>
      </c>
      <c r="B27" s="36" t="s">
        <v>30</v>
      </c>
      <c r="C27" s="34">
        <v>21.43</v>
      </c>
      <c r="D27" s="28">
        <f t="shared" si="0"/>
        <v>1460.3</v>
      </c>
      <c r="E27" s="89">
        <f>RCF!C$43</f>
        <v>68.141894999999991</v>
      </c>
      <c r="F27" s="91">
        <f t="shared" si="1"/>
        <v>571.70000000000005</v>
      </c>
      <c r="G27" s="27">
        <f t="shared" si="2"/>
        <v>26.677554829678023</v>
      </c>
      <c r="H27" s="91">
        <v>594.1</v>
      </c>
      <c r="I27" s="27">
        <f t="shared" si="2"/>
        <v>27.722818478768083</v>
      </c>
      <c r="J27" s="31">
        <f t="shared" si="3"/>
        <v>653.5</v>
      </c>
      <c r="K27" s="31">
        <f t="shared" si="3"/>
        <v>813.9</v>
      </c>
      <c r="L27" s="31">
        <f t="shared" si="3"/>
        <v>873.3</v>
      </c>
      <c r="M27" s="31">
        <f t="shared" si="3"/>
        <v>962.4</v>
      </c>
      <c r="N27" s="31">
        <f t="shared" si="3"/>
        <v>1188.2</v>
      </c>
      <c r="O27" s="31">
        <f t="shared" si="3"/>
        <v>1277.3</v>
      </c>
      <c r="P27" s="31">
        <f t="shared" si="3"/>
        <v>1782.3</v>
      </c>
      <c r="Q27" s="91">
        <v>611.20000000000005</v>
      </c>
      <c r="R27" s="27">
        <f t="shared" ref="R27" si="129">Q27/$C27</f>
        <v>28.520765282314514</v>
      </c>
      <c r="S27" s="31">
        <f t="shared" si="14"/>
        <v>794.5</v>
      </c>
      <c r="T27" s="31">
        <f t="shared" si="14"/>
        <v>916.8</v>
      </c>
      <c r="U27" s="91">
        <v>558.9</v>
      </c>
      <c r="V27" s="27">
        <f t="shared" ref="V27" si="130">U27/$C27</f>
        <v>26.080261315912271</v>
      </c>
      <c r="W27" s="31">
        <v>595.29999999999995</v>
      </c>
      <c r="X27" s="27">
        <f t="shared" ref="X27" si="131">W27/$C27</f>
        <v>27.778814745683619</v>
      </c>
      <c r="Y27" s="31">
        <f>W27</f>
        <v>595.29999999999995</v>
      </c>
      <c r="Z27" s="31">
        <f>Y27</f>
        <v>595.29999999999995</v>
      </c>
      <c r="AA27" s="31">
        <f t="shared" ref="AA27:AD27" si="132">Z27</f>
        <v>595.29999999999995</v>
      </c>
      <c r="AB27" s="31">
        <f t="shared" si="132"/>
        <v>595.29999999999995</v>
      </c>
      <c r="AC27" s="31">
        <f t="shared" si="132"/>
        <v>595.29999999999995</v>
      </c>
      <c r="AD27" s="31">
        <f t="shared" si="132"/>
        <v>595.29999999999995</v>
      </c>
      <c r="AE27" s="28">
        <v>573.4</v>
      </c>
      <c r="AF27" s="27">
        <f t="shared" ref="AF27" si="133">AE27/$C27</f>
        <v>26.756882874475036</v>
      </c>
      <c r="AG27" s="31">
        <f t="shared" si="9"/>
        <v>946.1</v>
      </c>
      <c r="AH27" s="31">
        <f t="shared" si="9"/>
        <v>1204.0999999999999</v>
      </c>
      <c r="AI27" s="31">
        <f t="shared" si="9"/>
        <v>1720.2</v>
      </c>
      <c r="AJ27" s="91">
        <v>525</v>
      </c>
      <c r="AK27" s="27">
        <f t="shared" si="19"/>
        <v>24.498366775548298</v>
      </c>
      <c r="AL27" s="91">
        <v>708.9</v>
      </c>
      <c r="AM27" s="27">
        <f t="shared" ref="AM27" si="134">AL27/$C27</f>
        <v>33.079794680354645</v>
      </c>
      <c r="AN27" s="91">
        <v>640.70000000000005</v>
      </c>
      <c r="AO27" s="89">
        <f t="shared" si="21"/>
        <v>29.897340177321514</v>
      </c>
      <c r="AP27" s="31">
        <f t="shared" si="32"/>
        <v>961</v>
      </c>
      <c r="AQ27" s="28">
        <v>598.70000000000005</v>
      </c>
      <c r="AR27" s="27">
        <f t="shared" ref="AR27" si="135">AQ27/$C27</f>
        <v>27.937470835277651</v>
      </c>
      <c r="AS27" s="31">
        <f t="shared" si="23"/>
        <v>778.3</v>
      </c>
      <c r="AT27" s="31">
        <f t="shared" si="23"/>
        <v>868.1</v>
      </c>
      <c r="AU27" s="28">
        <v>750.4</v>
      </c>
      <c r="AV27" s="89">
        <f t="shared" si="24"/>
        <v>35.016332244517031</v>
      </c>
      <c r="AW27" s="91">
        <v>625.20000000000005</v>
      </c>
      <c r="AX27" s="89">
        <f t="shared" si="25"/>
        <v>29.174055062995802</v>
      </c>
      <c r="AY27" s="28"/>
      <c r="AZ27" s="27">
        <f t="shared" si="12"/>
        <v>0</v>
      </c>
      <c r="BA27" s="137">
        <f t="shared" ref="BA27" si="136">ROUNDDOWN($C27*BB27,1)</f>
        <v>608.29999999999995</v>
      </c>
      <c r="BB27" s="27">
        <f>RCF!I$41</f>
        <v>28.387</v>
      </c>
    </row>
    <row r="28" spans="1:54" s="88" customFormat="1" ht="25.5" x14ac:dyDescent="0.2">
      <c r="A28" s="113" t="s">
        <v>52</v>
      </c>
      <c r="B28" s="114" t="s">
        <v>136</v>
      </c>
      <c r="C28" s="87">
        <v>0</v>
      </c>
      <c r="D28" s="87">
        <v>0</v>
      </c>
      <c r="E28" s="87">
        <v>0</v>
      </c>
      <c r="F28" s="87">
        <v>0</v>
      </c>
      <c r="G28" s="87">
        <v>0</v>
      </c>
      <c r="H28" s="87"/>
      <c r="I28" s="87">
        <v>0</v>
      </c>
      <c r="J28" s="115">
        <v>0</v>
      </c>
      <c r="K28" s="115">
        <v>0</v>
      </c>
      <c r="L28" s="115">
        <v>0</v>
      </c>
      <c r="M28" s="115">
        <v>0</v>
      </c>
      <c r="N28" s="115">
        <v>0</v>
      </c>
      <c r="O28" s="115">
        <v>0</v>
      </c>
      <c r="P28" s="115">
        <v>0</v>
      </c>
      <c r="Q28" s="87">
        <v>0</v>
      </c>
      <c r="R28" s="87">
        <v>0</v>
      </c>
      <c r="S28" s="115">
        <f t="shared" ref="S28:T33" si="137">ROUNDDOWN($Q28*S$6,1)</f>
        <v>0</v>
      </c>
      <c r="T28" s="115">
        <f t="shared" si="137"/>
        <v>0</v>
      </c>
      <c r="U28" s="87">
        <v>0</v>
      </c>
      <c r="V28" s="87">
        <v>0</v>
      </c>
      <c r="W28" s="87">
        <v>0</v>
      </c>
      <c r="X28" s="87">
        <v>0</v>
      </c>
      <c r="Y28" s="116" t="s">
        <v>53</v>
      </c>
      <c r="Z28" s="115">
        <v>2116.94</v>
      </c>
      <c r="AA28" s="116" t="s">
        <v>53</v>
      </c>
      <c r="AB28" s="115">
        <v>2271.58</v>
      </c>
      <c r="AC28" s="115">
        <v>3535.04</v>
      </c>
      <c r="AD28" s="115">
        <v>3535.04</v>
      </c>
      <c r="AE28" s="87">
        <v>0</v>
      </c>
      <c r="AF28" s="87">
        <v>0</v>
      </c>
      <c r="AG28" s="115">
        <v>0</v>
      </c>
      <c r="AH28" s="115">
        <v>0</v>
      </c>
      <c r="AI28" s="115">
        <v>0</v>
      </c>
      <c r="AJ28" s="87">
        <v>0</v>
      </c>
      <c r="AK28" s="87">
        <v>0</v>
      </c>
      <c r="AL28" s="87">
        <v>0</v>
      </c>
      <c r="AM28" s="87">
        <v>0</v>
      </c>
      <c r="AN28" s="87">
        <v>0</v>
      </c>
      <c r="AO28" s="87">
        <v>0</v>
      </c>
      <c r="AP28" s="115">
        <v>0</v>
      </c>
      <c r="AQ28" s="87">
        <v>0</v>
      </c>
      <c r="AR28" s="87">
        <v>0</v>
      </c>
      <c r="AS28" s="115">
        <v>0</v>
      </c>
      <c r="AT28" s="115">
        <v>0</v>
      </c>
      <c r="AU28" s="87">
        <v>0</v>
      </c>
      <c r="AV28" s="87">
        <v>0</v>
      </c>
      <c r="AW28" s="87"/>
      <c r="AX28" s="87"/>
      <c r="AY28" s="87">
        <v>0</v>
      </c>
      <c r="AZ28" s="117">
        <v>0</v>
      </c>
      <c r="BA28" s="87">
        <v>0</v>
      </c>
      <c r="BB28" s="87">
        <v>0</v>
      </c>
    </row>
    <row r="29" spans="1:54" s="88" customFormat="1" ht="25.5" x14ac:dyDescent="0.2">
      <c r="A29" s="113" t="s">
        <v>52</v>
      </c>
      <c r="B29" s="114" t="s">
        <v>137</v>
      </c>
      <c r="C29" s="87">
        <v>0</v>
      </c>
      <c r="D29" s="87">
        <v>0</v>
      </c>
      <c r="E29" s="87">
        <v>0</v>
      </c>
      <c r="F29" s="87">
        <v>0</v>
      </c>
      <c r="G29" s="87">
        <v>0</v>
      </c>
      <c r="H29" s="87"/>
      <c r="I29" s="87">
        <v>0</v>
      </c>
      <c r="J29" s="115">
        <v>0</v>
      </c>
      <c r="K29" s="115">
        <v>0</v>
      </c>
      <c r="L29" s="115">
        <v>0</v>
      </c>
      <c r="M29" s="115">
        <v>0</v>
      </c>
      <c r="N29" s="115">
        <v>0</v>
      </c>
      <c r="O29" s="115">
        <v>0</v>
      </c>
      <c r="P29" s="115">
        <v>0</v>
      </c>
      <c r="Q29" s="87">
        <v>0</v>
      </c>
      <c r="R29" s="87">
        <v>0</v>
      </c>
      <c r="S29" s="115">
        <f t="shared" si="137"/>
        <v>0</v>
      </c>
      <c r="T29" s="115">
        <f t="shared" si="137"/>
        <v>0</v>
      </c>
      <c r="U29" s="87">
        <v>0</v>
      </c>
      <c r="V29" s="87">
        <v>0</v>
      </c>
      <c r="W29" s="87">
        <v>0</v>
      </c>
      <c r="X29" s="87">
        <v>0</v>
      </c>
      <c r="Y29" s="115">
        <v>1699.82</v>
      </c>
      <c r="Z29" s="115">
        <v>2116.94</v>
      </c>
      <c r="AA29" s="116" t="s">
        <v>53</v>
      </c>
      <c r="AB29" s="115">
        <v>2116.94</v>
      </c>
      <c r="AC29" s="115">
        <v>1545.28</v>
      </c>
      <c r="AD29" s="115">
        <v>1545.28</v>
      </c>
      <c r="AE29" s="87">
        <v>0</v>
      </c>
      <c r="AF29" s="87">
        <v>0</v>
      </c>
      <c r="AG29" s="115">
        <v>0</v>
      </c>
      <c r="AH29" s="115">
        <v>0</v>
      </c>
      <c r="AI29" s="115">
        <v>0</v>
      </c>
      <c r="AJ29" s="87">
        <v>0</v>
      </c>
      <c r="AK29" s="87">
        <v>0</v>
      </c>
      <c r="AL29" s="87">
        <v>0</v>
      </c>
      <c r="AM29" s="87">
        <v>0</v>
      </c>
      <c r="AN29" s="87">
        <v>0</v>
      </c>
      <c r="AO29" s="87">
        <v>0</v>
      </c>
      <c r="AP29" s="115">
        <v>0</v>
      </c>
      <c r="AQ29" s="87">
        <v>0</v>
      </c>
      <c r="AR29" s="87">
        <v>0</v>
      </c>
      <c r="AS29" s="115">
        <v>0</v>
      </c>
      <c r="AT29" s="115">
        <v>0</v>
      </c>
      <c r="AU29" s="87">
        <v>0</v>
      </c>
      <c r="AV29" s="87">
        <v>0</v>
      </c>
      <c r="AW29" s="87"/>
      <c r="AX29" s="87"/>
      <c r="AY29" s="87">
        <v>0</v>
      </c>
      <c r="AZ29" s="117">
        <v>0</v>
      </c>
      <c r="BA29" s="87">
        <v>0</v>
      </c>
      <c r="BB29" s="87">
        <v>0</v>
      </c>
    </row>
    <row r="30" spans="1:54" s="88" customFormat="1" ht="25.5" x14ac:dyDescent="0.2">
      <c r="A30" s="113" t="s">
        <v>54</v>
      </c>
      <c r="B30" s="114" t="s">
        <v>138</v>
      </c>
      <c r="C30" s="87">
        <v>0</v>
      </c>
      <c r="D30" s="87">
        <v>0</v>
      </c>
      <c r="E30" s="87">
        <v>0</v>
      </c>
      <c r="F30" s="87">
        <v>0</v>
      </c>
      <c r="G30" s="87">
        <v>0</v>
      </c>
      <c r="H30" s="87">
        <v>0</v>
      </c>
      <c r="I30" s="87">
        <v>0</v>
      </c>
      <c r="J30" s="115">
        <v>0</v>
      </c>
      <c r="K30" s="115">
        <v>0</v>
      </c>
      <c r="L30" s="115">
        <v>0</v>
      </c>
      <c r="M30" s="115">
        <v>0</v>
      </c>
      <c r="N30" s="115">
        <v>0</v>
      </c>
      <c r="O30" s="115">
        <v>0</v>
      </c>
      <c r="P30" s="115">
        <v>0</v>
      </c>
      <c r="Q30" s="87">
        <v>0</v>
      </c>
      <c r="R30" s="87">
        <v>0</v>
      </c>
      <c r="S30" s="115">
        <f t="shared" si="137"/>
        <v>0</v>
      </c>
      <c r="T30" s="115">
        <f t="shared" si="137"/>
        <v>0</v>
      </c>
      <c r="U30" s="87">
        <v>0</v>
      </c>
      <c r="V30" s="87">
        <v>0</v>
      </c>
      <c r="W30" s="87">
        <v>0</v>
      </c>
      <c r="X30" s="87">
        <v>0</v>
      </c>
      <c r="Y30" s="116" t="s">
        <v>53</v>
      </c>
      <c r="Z30" s="115">
        <v>818.04</v>
      </c>
      <c r="AA30" s="116" t="s">
        <v>53</v>
      </c>
      <c r="AB30" s="115">
        <v>878</v>
      </c>
      <c r="AC30" s="115">
        <v>1295.6400000000001</v>
      </c>
      <c r="AD30" s="115">
        <v>1295.6400000000001</v>
      </c>
      <c r="AE30" s="87">
        <v>0</v>
      </c>
      <c r="AF30" s="87">
        <v>0</v>
      </c>
      <c r="AG30" s="115">
        <v>0</v>
      </c>
      <c r="AH30" s="115">
        <v>0</v>
      </c>
      <c r="AI30" s="115">
        <v>0</v>
      </c>
      <c r="AJ30" s="87">
        <v>0</v>
      </c>
      <c r="AK30" s="87">
        <v>0</v>
      </c>
      <c r="AL30" s="87">
        <v>0</v>
      </c>
      <c r="AM30" s="87">
        <v>0</v>
      </c>
      <c r="AN30" s="87">
        <v>0</v>
      </c>
      <c r="AO30" s="87">
        <v>0</v>
      </c>
      <c r="AP30" s="115">
        <v>0</v>
      </c>
      <c r="AQ30" s="87">
        <v>0</v>
      </c>
      <c r="AR30" s="87">
        <v>0</v>
      </c>
      <c r="AS30" s="115">
        <v>0</v>
      </c>
      <c r="AT30" s="115">
        <v>0</v>
      </c>
      <c r="AU30" s="87">
        <v>0</v>
      </c>
      <c r="AV30" s="87">
        <v>0</v>
      </c>
      <c r="AW30" s="87"/>
      <c r="AX30" s="87"/>
      <c r="AY30" s="87">
        <v>0</v>
      </c>
      <c r="AZ30" s="117">
        <v>0</v>
      </c>
      <c r="BA30" s="87">
        <v>0</v>
      </c>
      <c r="BB30" s="87">
        <v>0</v>
      </c>
    </row>
    <row r="31" spans="1:54" s="88" customFormat="1" ht="25.5" x14ac:dyDescent="0.2">
      <c r="A31" s="113" t="s">
        <v>54</v>
      </c>
      <c r="B31" s="114" t="s">
        <v>139</v>
      </c>
      <c r="C31" s="87">
        <v>0</v>
      </c>
      <c r="D31" s="87">
        <v>0</v>
      </c>
      <c r="E31" s="87">
        <v>0</v>
      </c>
      <c r="F31" s="87">
        <v>0</v>
      </c>
      <c r="G31" s="87">
        <v>0</v>
      </c>
      <c r="H31" s="87">
        <v>0</v>
      </c>
      <c r="I31" s="87">
        <v>0</v>
      </c>
      <c r="J31" s="115">
        <v>0</v>
      </c>
      <c r="K31" s="115">
        <v>0</v>
      </c>
      <c r="L31" s="115">
        <v>0</v>
      </c>
      <c r="M31" s="115">
        <v>0</v>
      </c>
      <c r="N31" s="115">
        <v>0</v>
      </c>
      <c r="O31" s="115">
        <v>0</v>
      </c>
      <c r="P31" s="115">
        <v>0</v>
      </c>
      <c r="Q31" s="87">
        <v>0</v>
      </c>
      <c r="R31" s="87">
        <v>0</v>
      </c>
      <c r="S31" s="115">
        <f t="shared" si="137"/>
        <v>0</v>
      </c>
      <c r="T31" s="115">
        <f t="shared" si="137"/>
        <v>0</v>
      </c>
      <c r="U31" s="87">
        <v>0</v>
      </c>
      <c r="V31" s="87">
        <v>0</v>
      </c>
      <c r="W31" s="87">
        <v>0</v>
      </c>
      <c r="X31" s="87">
        <v>0</v>
      </c>
      <c r="Y31" s="115">
        <v>656.76</v>
      </c>
      <c r="Z31" s="115">
        <v>818.04</v>
      </c>
      <c r="AA31" s="116" t="s">
        <v>53</v>
      </c>
      <c r="AB31" s="115">
        <v>878</v>
      </c>
      <c r="AC31" s="115">
        <v>601.95000000000005</v>
      </c>
      <c r="AD31" s="115">
        <v>601.95000000000005</v>
      </c>
      <c r="AE31" s="87">
        <v>0</v>
      </c>
      <c r="AF31" s="87">
        <v>0</v>
      </c>
      <c r="AG31" s="115">
        <v>0</v>
      </c>
      <c r="AH31" s="115">
        <v>0</v>
      </c>
      <c r="AI31" s="115">
        <v>0</v>
      </c>
      <c r="AJ31" s="87">
        <v>0</v>
      </c>
      <c r="AK31" s="87">
        <v>0</v>
      </c>
      <c r="AL31" s="87">
        <v>0</v>
      </c>
      <c r="AM31" s="87">
        <v>0</v>
      </c>
      <c r="AN31" s="87">
        <v>0</v>
      </c>
      <c r="AO31" s="87">
        <v>0</v>
      </c>
      <c r="AP31" s="115">
        <v>0</v>
      </c>
      <c r="AQ31" s="87">
        <v>0</v>
      </c>
      <c r="AR31" s="87">
        <v>0</v>
      </c>
      <c r="AS31" s="115">
        <v>0</v>
      </c>
      <c r="AT31" s="115">
        <v>0</v>
      </c>
      <c r="AU31" s="87">
        <v>0</v>
      </c>
      <c r="AV31" s="87">
        <v>0</v>
      </c>
      <c r="AW31" s="87"/>
      <c r="AX31" s="87"/>
      <c r="AY31" s="87">
        <v>0</v>
      </c>
      <c r="AZ31" s="117">
        <v>0</v>
      </c>
      <c r="BA31" s="87">
        <v>0</v>
      </c>
      <c r="BB31" s="87">
        <v>0</v>
      </c>
    </row>
    <row r="32" spans="1:54" s="105" customFormat="1" x14ac:dyDescent="0.2">
      <c r="A32" s="99" t="s">
        <v>70</v>
      </c>
      <c r="B32" s="100" t="s">
        <v>71</v>
      </c>
      <c r="C32" s="101">
        <v>2.06</v>
      </c>
      <c r="D32" s="101">
        <v>0</v>
      </c>
      <c r="E32" s="101">
        <v>0</v>
      </c>
      <c r="F32" s="101">
        <v>0</v>
      </c>
      <c r="G32" s="101">
        <v>0</v>
      </c>
      <c r="H32" s="101">
        <v>0</v>
      </c>
      <c r="I32" s="101">
        <v>0</v>
      </c>
      <c r="J32" s="102">
        <v>0</v>
      </c>
      <c r="K32" s="102">
        <v>0</v>
      </c>
      <c r="L32" s="102">
        <v>0</v>
      </c>
      <c r="M32" s="102">
        <v>0</v>
      </c>
      <c r="N32" s="102">
        <v>0</v>
      </c>
      <c r="O32" s="102">
        <v>0</v>
      </c>
      <c r="P32" s="102">
        <v>0</v>
      </c>
      <c r="Q32" s="101">
        <v>0</v>
      </c>
      <c r="R32" s="101">
        <f t="shared" ref="R32:R33" si="138">Q32/C32</f>
        <v>0</v>
      </c>
      <c r="S32" s="102">
        <f t="shared" si="137"/>
        <v>0</v>
      </c>
      <c r="T32" s="102">
        <f t="shared" si="137"/>
        <v>0</v>
      </c>
      <c r="U32" s="101">
        <v>0</v>
      </c>
      <c r="V32" s="101">
        <f t="shared" ref="V32:V33" si="139">U32/C32</f>
        <v>0</v>
      </c>
      <c r="W32" s="101">
        <v>0</v>
      </c>
      <c r="X32" s="101">
        <v>0</v>
      </c>
      <c r="Y32" s="102">
        <v>0</v>
      </c>
      <c r="Z32" s="102">
        <v>0</v>
      </c>
      <c r="AA32" s="103">
        <v>0</v>
      </c>
      <c r="AB32" s="102">
        <v>0</v>
      </c>
      <c r="AC32" s="102">
        <v>0</v>
      </c>
      <c r="AD32" s="102">
        <v>0</v>
      </c>
      <c r="AE32" s="101">
        <v>0</v>
      </c>
      <c r="AF32" s="101">
        <v>0</v>
      </c>
      <c r="AG32" s="102">
        <v>0</v>
      </c>
      <c r="AH32" s="102">
        <v>0</v>
      </c>
      <c r="AI32" s="102">
        <v>0</v>
      </c>
      <c r="AJ32" s="101">
        <v>0</v>
      </c>
      <c r="AK32" s="101">
        <v>0</v>
      </c>
      <c r="AL32" s="101">
        <v>0</v>
      </c>
      <c r="AM32" s="101">
        <v>0</v>
      </c>
      <c r="AN32" s="101">
        <v>0</v>
      </c>
      <c r="AO32" s="101">
        <v>0</v>
      </c>
      <c r="AP32" s="102">
        <v>0</v>
      </c>
      <c r="AQ32" s="101">
        <v>0</v>
      </c>
      <c r="AR32" s="101">
        <v>0</v>
      </c>
      <c r="AS32" s="102">
        <v>0</v>
      </c>
      <c r="AT32" s="102">
        <v>0</v>
      </c>
      <c r="AU32" s="101">
        <v>0</v>
      </c>
      <c r="AV32" s="101">
        <v>0</v>
      </c>
      <c r="AW32" s="101"/>
      <c r="AX32" s="101"/>
      <c r="AY32" s="101"/>
      <c r="AZ32" s="104">
        <f>AY32/C32</f>
        <v>0</v>
      </c>
      <c r="BA32" s="101">
        <v>0</v>
      </c>
      <c r="BB32" s="101">
        <v>0</v>
      </c>
    </row>
    <row r="33" spans="1:58" s="105" customFormat="1" x14ac:dyDescent="0.2">
      <c r="A33" s="99" t="s">
        <v>72</v>
      </c>
      <c r="B33" s="100" t="s">
        <v>73</v>
      </c>
      <c r="C33" s="101">
        <v>3.05</v>
      </c>
      <c r="D33" s="101">
        <v>0</v>
      </c>
      <c r="E33" s="101">
        <v>0</v>
      </c>
      <c r="F33" s="101">
        <v>0</v>
      </c>
      <c r="G33" s="101">
        <v>0</v>
      </c>
      <c r="H33" s="101">
        <v>0</v>
      </c>
      <c r="I33" s="101">
        <v>0</v>
      </c>
      <c r="J33" s="102">
        <v>0</v>
      </c>
      <c r="K33" s="102">
        <v>0</v>
      </c>
      <c r="L33" s="102">
        <v>0</v>
      </c>
      <c r="M33" s="102">
        <v>0</v>
      </c>
      <c r="N33" s="102">
        <v>0</v>
      </c>
      <c r="O33" s="102">
        <v>0</v>
      </c>
      <c r="P33" s="102">
        <v>0</v>
      </c>
      <c r="Q33" s="101">
        <v>0</v>
      </c>
      <c r="R33" s="101">
        <f t="shared" si="138"/>
        <v>0</v>
      </c>
      <c r="S33" s="102">
        <f t="shared" si="137"/>
        <v>0</v>
      </c>
      <c r="T33" s="102">
        <f t="shared" si="137"/>
        <v>0</v>
      </c>
      <c r="U33" s="101">
        <v>0</v>
      </c>
      <c r="V33" s="101">
        <f t="shared" si="139"/>
        <v>0</v>
      </c>
      <c r="W33" s="101">
        <v>0</v>
      </c>
      <c r="X33" s="101">
        <v>0</v>
      </c>
      <c r="Y33" s="102">
        <v>0</v>
      </c>
      <c r="Z33" s="102">
        <v>0</v>
      </c>
      <c r="AA33" s="103">
        <v>0</v>
      </c>
      <c r="AB33" s="102">
        <v>0</v>
      </c>
      <c r="AC33" s="102">
        <v>0</v>
      </c>
      <c r="AD33" s="102">
        <v>0</v>
      </c>
      <c r="AE33" s="101">
        <v>0</v>
      </c>
      <c r="AF33" s="101">
        <v>0</v>
      </c>
      <c r="AG33" s="102">
        <v>0</v>
      </c>
      <c r="AH33" s="102">
        <v>0</v>
      </c>
      <c r="AI33" s="102">
        <v>0</v>
      </c>
      <c r="AJ33" s="101">
        <v>0</v>
      </c>
      <c r="AK33" s="101">
        <v>0</v>
      </c>
      <c r="AL33" s="101">
        <v>0</v>
      </c>
      <c r="AM33" s="101">
        <v>0</v>
      </c>
      <c r="AN33" s="101">
        <v>0</v>
      </c>
      <c r="AO33" s="101">
        <v>0</v>
      </c>
      <c r="AP33" s="102">
        <v>0</v>
      </c>
      <c r="AQ33" s="101">
        <v>0</v>
      </c>
      <c r="AR33" s="101">
        <v>0</v>
      </c>
      <c r="AS33" s="102">
        <v>0</v>
      </c>
      <c r="AT33" s="102">
        <v>0</v>
      </c>
      <c r="AU33" s="101">
        <v>0</v>
      </c>
      <c r="AV33" s="101">
        <v>0</v>
      </c>
      <c r="AW33" s="101"/>
      <c r="AX33" s="101"/>
      <c r="AY33" s="101"/>
      <c r="AZ33" s="104">
        <f>AY33/C33</f>
        <v>0</v>
      </c>
      <c r="BA33" s="101">
        <v>0</v>
      </c>
      <c r="BB33" s="101">
        <v>0</v>
      </c>
    </row>
    <row r="34" spans="1:58" x14ac:dyDescent="0.2">
      <c r="A34" s="37"/>
      <c r="B34" s="38"/>
      <c r="C34" s="39"/>
      <c r="D34" s="39"/>
      <c r="E34" s="40"/>
      <c r="F34" s="39"/>
      <c r="G34" s="40"/>
      <c r="H34" s="39"/>
      <c r="I34" s="40"/>
      <c r="J34" s="40"/>
      <c r="K34" s="40"/>
      <c r="L34" s="40"/>
      <c r="M34" s="40"/>
      <c r="N34" s="40"/>
      <c r="O34" s="40"/>
      <c r="P34" s="40"/>
      <c r="Q34" s="39"/>
      <c r="R34" s="40"/>
      <c r="S34" s="40"/>
      <c r="T34" s="40"/>
      <c r="U34" s="39"/>
      <c r="V34" s="40"/>
      <c r="W34" s="39"/>
      <c r="X34" s="40"/>
      <c r="Y34" s="41"/>
      <c r="Z34" s="41"/>
      <c r="AA34" s="41"/>
      <c r="AB34" s="41"/>
      <c r="AC34" s="41"/>
      <c r="AD34" s="41"/>
      <c r="AE34" s="39"/>
      <c r="AF34" s="40"/>
      <c r="AG34" s="42"/>
      <c r="AH34" s="42"/>
      <c r="AI34" s="42"/>
      <c r="AJ34" s="39"/>
      <c r="AK34" s="40"/>
      <c r="AL34" s="39"/>
      <c r="AM34" s="40"/>
      <c r="AN34" s="39"/>
      <c r="AO34" s="40"/>
      <c r="AP34" s="42"/>
      <c r="AQ34" s="39"/>
      <c r="AR34" s="40"/>
      <c r="AS34" s="42"/>
      <c r="AT34" s="42"/>
      <c r="AU34" s="39"/>
      <c r="AV34" s="40"/>
      <c r="AW34" s="39"/>
      <c r="AX34" s="40"/>
      <c r="AY34" s="39"/>
      <c r="AZ34" s="40"/>
      <c r="BA34" s="39"/>
      <c r="BB34" s="40"/>
    </row>
    <row r="35" spans="1:58" x14ac:dyDescent="0.2">
      <c r="A35" s="148"/>
      <c r="B35" s="149" t="s">
        <v>4</v>
      </c>
      <c r="C35" s="149"/>
      <c r="D35" s="149"/>
      <c r="E35" s="149"/>
      <c r="F35" s="150"/>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50"/>
      <c r="AO35" s="149"/>
      <c r="AP35" s="149"/>
      <c r="AQ35" s="150"/>
      <c r="AR35" s="149"/>
      <c r="AS35" s="149"/>
      <c r="AT35" s="149"/>
      <c r="AU35" s="150"/>
      <c r="AV35" s="149"/>
      <c r="AW35" s="150"/>
      <c r="AX35" s="149"/>
      <c r="AY35" s="150"/>
      <c r="AZ35" s="151"/>
      <c r="BA35" s="149"/>
      <c r="BB35" s="152"/>
    </row>
    <row r="36" spans="1:58" x14ac:dyDescent="0.2">
      <c r="A36" s="43"/>
      <c r="B36" s="44"/>
      <c r="C36" s="45"/>
      <c r="D36" s="20"/>
      <c r="E36" s="21"/>
      <c r="F36" s="20"/>
      <c r="G36" s="21"/>
      <c r="H36" s="20"/>
      <c r="I36" s="21"/>
      <c r="J36" s="30"/>
      <c r="K36" s="30"/>
      <c r="L36" s="30"/>
      <c r="M36" s="30"/>
      <c r="N36" s="30"/>
      <c r="O36" s="30"/>
      <c r="P36" s="30"/>
      <c r="Q36" s="20"/>
      <c r="R36" s="21"/>
      <c r="S36" s="30"/>
      <c r="T36" s="30"/>
      <c r="U36" s="20"/>
      <c r="V36" s="21"/>
      <c r="W36" s="20"/>
      <c r="X36" s="21"/>
      <c r="Y36" s="22"/>
      <c r="Z36" s="22"/>
      <c r="AA36" s="22"/>
      <c r="AB36" s="22"/>
      <c r="AC36" s="22"/>
      <c r="AD36" s="22"/>
      <c r="AE36" s="20"/>
      <c r="AF36" s="21"/>
      <c r="AG36" s="46"/>
      <c r="AH36" s="46"/>
      <c r="AI36" s="46"/>
      <c r="AJ36" s="20"/>
      <c r="AK36" s="21"/>
      <c r="AL36" s="20"/>
      <c r="AM36" s="21"/>
      <c r="AN36" s="20"/>
      <c r="AO36" s="21"/>
      <c r="AP36" s="46"/>
      <c r="AQ36" s="20"/>
      <c r="AR36" s="21"/>
      <c r="AS36" s="46"/>
      <c r="AT36" s="46"/>
      <c r="AU36" s="20"/>
      <c r="AV36" s="21"/>
      <c r="AW36" s="20"/>
      <c r="AX36" s="21"/>
      <c r="AY36" s="20"/>
      <c r="AZ36" s="21"/>
      <c r="BA36" s="20"/>
      <c r="BB36" s="21"/>
    </row>
    <row r="37" spans="1:58" s="95" customFormat="1" ht="25.5" x14ac:dyDescent="0.2">
      <c r="A37" s="47" t="s">
        <v>158</v>
      </c>
      <c r="B37" s="33" t="s">
        <v>159</v>
      </c>
      <c r="C37" s="34">
        <v>6</v>
      </c>
      <c r="D37" s="28">
        <f t="shared" ref="D37:D69" si="140">ROUND(E37*C37,1)</f>
        <v>408.9</v>
      </c>
      <c r="E37" s="89">
        <f>RCF!C$43</f>
        <v>68.141894999999991</v>
      </c>
      <c r="F37" s="28">
        <f t="shared" ref="F37:F69" si="141">ROUNDDOWN($C37*G37,1)</f>
        <v>105.4</v>
      </c>
      <c r="G37" s="89">
        <f>RCF!C$5</f>
        <v>17.577000000000002</v>
      </c>
      <c r="H37" s="28">
        <f t="shared" ref="H37:H69" si="142">ROUNDDOWN($C37*I37,1)</f>
        <v>105.4</v>
      </c>
      <c r="I37" s="89">
        <f t="shared" ref="I37:I69" si="143">G37</f>
        <v>17.577000000000002</v>
      </c>
      <c r="J37" s="31">
        <f t="shared" ref="J37:P46" si="144">ROUND($C37*$I37*J$6,1)</f>
        <v>116</v>
      </c>
      <c r="K37" s="31">
        <f t="shared" si="144"/>
        <v>144.5</v>
      </c>
      <c r="L37" s="31">
        <f t="shared" si="144"/>
        <v>155</v>
      </c>
      <c r="M37" s="31">
        <f t="shared" si="144"/>
        <v>170.8</v>
      </c>
      <c r="N37" s="31">
        <f t="shared" si="144"/>
        <v>210.9</v>
      </c>
      <c r="O37" s="31">
        <f t="shared" si="144"/>
        <v>226.7</v>
      </c>
      <c r="P37" s="31">
        <f t="shared" si="144"/>
        <v>316.39999999999998</v>
      </c>
      <c r="Q37" s="28">
        <f t="shared" ref="Q37:Q69" si="145">ROUNDDOWN($C37*R37,1)</f>
        <v>105.9</v>
      </c>
      <c r="R37" s="89">
        <f>RCF!C$7</f>
        <v>17.66</v>
      </c>
      <c r="S37" s="31">
        <f t="shared" ref="S37:T56" si="146">ROUNDDOWN($Q37*S$6,1)</f>
        <v>137.6</v>
      </c>
      <c r="T37" s="31">
        <f t="shared" si="146"/>
        <v>158.80000000000001</v>
      </c>
      <c r="U37" s="28">
        <f t="shared" ref="U37:U69" si="147">ROUNDDOWN($C37*V37,1)</f>
        <v>102.2</v>
      </c>
      <c r="V37" s="89">
        <f>RCF!C$9</f>
        <v>17.033999999999999</v>
      </c>
      <c r="W37" s="28">
        <f t="shared" ref="W37:W69" si="148">ROUNDDOWN($C37*X37,1)</f>
        <v>102.2</v>
      </c>
      <c r="X37" s="89">
        <f>V37</f>
        <v>17.033999999999999</v>
      </c>
      <c r="Y37" s="31">
        <f t="shared" ref="Y37:AD46" si="149">ROUNDDOWN($W37*Y$6,1)</f>
        <v>112.4</v>
      </c>
      <c r="Z37" s="31">
        <f t="shared" si="149"/>
        <v>140</v>
      </c>
      <c r="AA37" s="31">
        <f t="shared" si="149"/>
        <v>165.5</v>
      </c>
      <c r="AB37" s="31">
        <f t="shared" si="149"/>
        <v>150.19999999999999</v>
      </c>
      <c r="AC37" s="31">
        <f t="shared" si="149"/>
        <v>221.7</v>
      </c>
      <c r="AD37" s="31">
        <f t="shared" si="149"/>
        <v>306.60000000000002</v>
      </c>
      <c r="AE37" s="28">
        <f t="shared" ref="AE37:AE69" si="150">ROUNDDOWN($C37*AF37,1)</f>
        <v>98.8</v>
      </c>
      <c r="AF37" s="89">
        <f>RCF!C$13</f>
        <v>16.48</v>
      </c>
      <c r="AG37" s="31">
        <f t="shared" ref="AG37:AI56" si="151">ROUND($AE37*AG$6,1)</f>
        <v>163</v>
      </c>
      <c r="AH37" s="31">
        <f t="shared" si="151"/>
        <v>207.5</v>
      </c>
      <c r="AI37" s="31">
        <f t="shared" si="151"/>
        <v>296.39999999999998</v>
      </c>
      <c r="AJ37" s="28">
        <f t="shared" ref="AJ37:AJ69" si="152">ROUNDDOWN($C37*AK37,1)</f>
        <v>103.4</v>
      </c>
      <c r="AK37" s="89">
        <f>RCF!C$25</f>
        <v>17.233333333333334</v>
      </c>
      <c r="AL37" s="28">
        <f t="shared" ref="AL37:AL69" si="153">ROUNDDOWN($C37*AM37,1)</f>
        <v>139.6</v>
      </c>
      <c r="AM37" s="89">
        <f>RCF!C$29</f>
        <v>23.27</v>
      </c>
      <c r="AN37" s="28">
        <f t="shared" ref="AN37:AN69" si="154">ROUNDDOWN($C37*AO37,1)</f>
        <v>111</v>
      </c>
      <c r="AO37" s="89">
        <f>RCF!C$33</f>
        <v>18.513999999999999</v>
      </c>
      <c r="AP37" s="31">
        <f t="shared" ref="AP37:AP69" si="155">ROUNDDOWN(AN37*AP$6,1)</f>
        <v>166.5</v>
      </c>
      <c r="AQ37" s="28">
        <f t="shared" ref="AQ37:AQ69" si="156">ROUNDDOWN($C37*AR37,1)</f>
        <v>103.8</v>
      </c>
      <c r="AR37" s="89">
        <f>RCF!C$35</f>
        <v>17.306666666666668</v>
      </c>
      <c r="AS37" s="31">
        <f t="shared" ref="AS37:AT56" si="157">ROUNDDOWN($AQ37*AS$6,1)</f>
        <v>134.9</v>
      </c>
      <c r="AT37" s="31">
        <f t="shared" si="157"/>
        <v>150.5</v>
      </c>
      <c r="AU37" s="28">
        <f t="shared" ref="AU37:AU69" si="158">ROUNDDOWN($C37*AV37,1)</f>
        <v>107.1</v>
      </c>
      <c r="AV37" s="89">
        <f>RCF!C$37</f>
        <v>17.86</v>
      </c>
      <c r="AW37" s="91">
        <f>ROUNDDOWN(AX37*C37,1)</f>
        <v>108.4</v>
      </c>
      <c r="AX37" s="89">
        <f>RCF!C$64</f>
        <v>18.07</v>
      </c>
      <c r="AY37" s="28">
        <f t="shared" ref="AY37:AY69" si="159">ROUNDDOWN($C37*AZ37,1)</f>
        <v>109.9</v>
      </c>
      <c r="AZ37" s="89">
        <f>RCF!C$39</f>
        <v>18.323333333333334</v>
      </c>
      <c r="BA37" s="28">
        <f t="shared" ref="BA37:BA69" si="160">ROUNDDOWN($C37*BB37,1)</f>
        <v>105.4</v>
      </c>
      <c r="BB37" s="89">
        <f>RCF!C$41</f>
        <v>17.579000000000001</v>
      </c>
      <c r="BC37" s="4"/>
      <c r="BD37" s="4"/>
      <c r="BE37" s="4"/>
      <c r="BF37" s="4"/>
    </row>
    <row r="38" spans="1:58" s="95" customFormat="1" x14ac:dyDescent="0.2">
      <c r="A38" s="47" t="s">
        <v>56</v>
      </c>
      <c r="B38" s="94" t="s">
        <v>57</v>
      </c>
      <c r="C38" s="34">
        <v>30</v>
      </c>
      <c r="D38" s="28">
        <f t="shared" si="140"/>
        <v>2044.3</v>
      </c>
      <c r="E38" s="89">
        <f>RCF!C$43</f>
        <v>68.141894999999991</v>
      </c>
      <c r="F38" s="28">
        <f t="shared" si="141"/>
        <v>527.29999999999995</v>
      </c>
      <c r="G38" s="89">
        <f>RCF!C$5</f>
        <v>17.577000000000002</v>
      </c>
      <c r="H38" s="28">
        <f t="shared" si="142"/>
        <v>527.29999999999995</v>
      </c>
      <c r="I38" s="89">
        <f t="shared" si="143"/>
        <v>17.577000000000002</v>
      </c>
      <c r="J38" s="31">
        <f t="shared" si="144"/>
        <v>580</v>
      </c>
      <c r="K38" s="31">
        <f t="shared" si="144"/>
        <v>722.4</v>
      </c>
      <c r="L38" s="31">
        <f t="shared" si="144"/>
        <v>775.1</v>
      </c>
      <c r="M38" s="31">
        <f t="shared" si="144"/>
        <v>854.2</v>
      </c>
      <c r="N38" s="31">
        <f t="shared" si="144"/>
        <v>1054.5999999999999</v>
      </c>
      <c r="O38" s="31">
        <f t="shared" si="144"/>
        <v>1133.7</v>
      </c>
      <c r="P38" s="31">
        <f t="shared" si="144"/>
        <v>1581.9</v>
      </c>
      <c r="Q38" s="28">
        <f t="shared" si="145"/>
        <v>529.79999999999995</v>
      </c>
      <c r="R38" s="89">
        <f>RCF!C$7</f>
        <v>17.66</v>
      </c>
      <c r="S38" s="31">
        <f t="shared" si="146"/>
        <v>688.7</v>
      </c>
      <c r="T38" s="31">
        <f t="shared" si="146"/>
        <v>794.7</v>
      </c>
      <c r="U38" s="28">
        <f t="shared" si="147"/>
        <v>484</v>
      </c>
      <c r="V38" s="89">
        <f>RCF!S$54</f>
        <v>16.133333333333333</v>
      </c>
      <c r="W38" s="28">
        <f t="shared" si="148"/>
        <v>515.70000000000005</v>
      </c>
      <c r="X38" s="89">
        <f>RCF!S$56</f>
        <v>17.190000000000001</v>
      </c>
      <c r="Y38" s="31">
        <f t="shared" si="149"/>
        <v>567.20000000000005</v>
      </c>
      <c r="Z38" s="31">
        <f t="shared" si="149"/>
        <v>706.5</v>
      </c>
      <c r="AA38" s="31">
        <f t="shared" si="149"/>
        <v>835.4</v>
      </c>
      <c r="AB38" s="31">
        <f t="shared" si="149"/>
        <v>758</v>
      </c>
      <c r="AC38" s="31">
        <f t="shared" si="149"/>
        <v>1119</v>
      </c>
      <c r="AD38" s="31">
        <f t="shared" si="149"/>
        <v>1547.1</v>
      </c>
      <c r="AE38" s="28">
        <f t="shared" si="150"/>
        <v>494.4</v>
      </c>
      <c r="AF38" s="89">
        <f>RCF!C$13</f>
        <v>16.48</v>
      </c>
      <c r="AG38" s="31">
        <f t="shared" si="151"/>
        <v>815.8</v>
      </c>
      <c r="AH38" s="31">
        <f t="shared" si="151"/>
        <v>1038.2</v>
      </c>
      <c r="AI38" s="31">
        <f t="shared" si="151"/>
        <v>1483.2</v>
      </c>
      <c r="AJ38" s="28">
        <f t="shared" si="152"/>
        <v>517</v>
      </c>
      <c r="AK38" s="89">
        <f>RCF!C$25</f>
        <v>17.233333333333334</v>
      </c>
      <c r="AL38" s="28">
        <f t="shared" si="153"/>
        <v>698.1</v>
      </c>
      <c r="AM38" s="89">
        <f>RCF!C$29</f>
        <v>23.27</v>
      </c>
      <c r="AN38" s="28">
        <f t="shared" si="154"/>
        <v>555.4</v>
      </c>
      <c r="AO38" s="89">
        <f>RCF!C$33</f>
        <v>18.513999999999999</v>
      </c>
      <c r="AP38" s="31">
        <f t="shared" si="155"/>
        <v>833.1</v>
      </c>
      <c r="AQ38" s="28">
        <f t="shared" si="156"/>
        <v>519.20000000000005</v>
      </c>
      <c r="AR38" s="89">
        <f>RCF!C$35</f>
        <v>17.306666666666668</v>
      </c>
      <c r="AS38" s="31">
        <f t="shared" si="157"/>
        <v>674.9</v>
      </c>
      <c r="AT38" s="31">
        <f t="shared" si="157"/>
        <v>752.8</v>
      </c>
      <c r="AU38" s="28">
        <f t="shared" si="158"/>
        <v>535.79999999999995</v>
      </c>
      <c r="AV38" s="89">
        <f>RCF!C$37</f>
        <v>17.86</v>
      </c>
      <c r="AW38" s="91">
        <f t="shared" ref="AW38:AW47" si="161">ROUNDDOWN(AX38*C38,1)</f>
        <v>542.1</v>
      </c>
      <c r="AX38" s="89">
        <f>RCF!C$64</f>
        <v>18.07</v>
      </c>
      <c r="AY38" s="28">
        <f t="shared" si="159"/>
        <v>549.70000000000005</v>
      </c>
      <c r="AZ38" s="89">
        <f>RCF!C$39</f>
        <v>18.323333333333334</v>
      </c>
      <c r="BA38" s="28">
        <f t="shared" si="160"/>
        <v>527.29999999999995</v>
      </c>
      <c r="BB38" s="89">
        <f>RCF!C$41</f>
        <v>17.579000000000001</v>
      </c>
    </row>
    <row r="39" spans="1:58" s="95" customFormat="1" x14ac:dyDescent="0.2">
      <c r="A39" s="47" t="s">
        <v>58</v>
      </c>
      <c r="B39" s="94" t="s">
        <v>59</v>
      </c>
      <c r="C39" s="34">
        <v>100</v>
      </c>
      <c r="D39" s="28">
        <f t="shared" si="140"/>
        <v>6814.2</v>
      </c>
      <c r="E39" s="89">
        <f>RCF!C$43</f>
        <v>68.141894999999991</v>
      </c>
      <c r="F39" s="28">
        <f t="shared" si="141"/>
        <v>1757.7</v>
      </c>
      <c r="G39" s="89">
        <f>RCF!C$5</f>
        <v>17.577000000000002</v>
      </c>
      <c r="H39" s="28">
        <f t="shared" si="142"/>
        <v>1757.7</v>
      </c>
      <c r="I39" s="89">
        <f t="shared" si="143"/>
        <v>17.577000000000002</v>
      </c>
      <c r="J39" s="31">
        <f t="shared" si="144"/>
        <v>1933.5</v>
      </c>
      <c r="K39" s="31">
        <f t="shared" si="144"/>
        <v>2408</v>
      </c>
      <c r="L39" s="31">
        <f t="shared" si="144"/>
        <v>2583.8000000000002</v>
      </c>
      <c r="M39" s="31">
        <f t="shared" si="144"/>
        <v>2847.5</v>
      </c>
      <c r="N39" s="31">
        <f t="shared" si="144"/>
        <v>3515.4</v>
      </c>
      <c r="O39" s="31">
        <f t="shared" si="144"/>
        <v>3779.1</v>
      </c>
      <c r="P39" s="31">
        <f t="shared" si="144"/>
        <v>5273.1</v>
      </c>
      <c r="Q39" s="28">
        <f t="shared" si="145"/>
        <v>1766</v>
      </c>
      <c r="R39" s="89">
        <f>RCF!C$7</f>
        <v>17.66</v>
      </c>
      <c r="S39" s="31">
        <f t="shared" si="146"/>
        <v>2295.8000000000002</v>
      </c>
      <c r="T39" s="31">
        <f t="shared" si="146"/>
        <v>2649</v>
      </c>
      <c r="U39" s="28">
        <f t="shared" si="147"/>
        <v>1613.3</v>
      </c>
      <c r="V39" s="89">
        <f>RCF!S$54</f>
        <v>16.133333333333333</v>
      </c>
      <c r="W39" s="28">
        <f t="shared" si="148"/>
        <v>1719</v>
      </c>
      <c r="X39" s="89">
        <f>RCF!S$56</f>
        <v>17.190000000000001</v>
      </c>
      <c r="Y39" s="31">
        <f t="shared" si="149"/>
        <v>1890.9</v>
      </c>
      <c r="Z39" s="31">
        <f t="shared" si="149"/>
        <v>2355</v>
      </c>
      <c r="AA39" s="31">
        <f t="shared" si="149"/>
        <v>2784.7</v>
      </c>
      <c r="AB39" s="31">
        <f t="shared" si="149"/>
        <v>2526.9</v>
      </c>
      <c r="AC39" s="31">
        <f t="shared" si="149"/>
        <v>3730.2</v>
      </c>
      <c r="AD39" s="31">
        <f t="shared" si="149"/>
        <v>5157</v>
      </c>
      <c r="AE39" s="28">
        <f t="shared" si="150"/>
        <v>1648</v>
      </c>
      <c r="AF39" s="89">
        <f>RCF!C$13</f>
        <v>16.48</v>
      </c>
      <c r="AG39" s="31">
        <f t="shared" si="151"/>
        <v>2719.2</v>
      </c>
      <c r="AH39" s="31">
        <f t="shared" si="151"/>
        <v>3460.8</v>
      </c>
      <c r="AI39" s="31">
        <f t="shared" si="151"/>
        <v>4944</v>
      </c>
      <c r="AJ39" s="28">
        <f t="shared" si="152"/>
        <v>1723.3</v>
      </c>
      <c r="AK39" s="89">
        <f>RCF!C$25</f>
        <v>17.233333333333334</v>
      </c>
      <c r="AL39" s="28">
        <f t="shared" si="153"/>
        <v>2327</v>
      </c>
      <c r="AM39" s="89">
        <f>RCF!C$29</f>
        <v>23.27</v>
      </c>
      <c r="AN39" s="28">
        <f t="shared" si="154"/>
        <v>1851.4</v>
      </c>
      <c r="AO39" s="89">
        <f>RCF!C$33</f>
        <v>18.513999999999999</v>
      </c>
      <c r="AP39" s="31">
        <f t="shared" si="155"/>
        <v>2777.1</v>
      </c>
      <c r="AQ39" s="28">
        <f t="shared" si="156"/>
        <v>1730.6</v>
      </c>
      <c r="AR39" s="89">
        <f>RCF!C$35</f>
        <v>17.306666666666668</v>
      </c>
      <c r="AS39" s="31">
        <f t="shared" si="157"/>
        <v>2249.6999999999998</v>
      </c>
      <c r="AT39" s="31">
        <f t="shared" si="157"/>
        <v>2509.3000000000002</v>
      </c>
      <c r="AU39" s="28">
        <f t="shared" si="158"/>
        <v>1786</v>
      </c>
      <c r="AV39" s="89">
        <f>RCF!C$37</f>
        <v>17.86</v>
      </c>
      <c r="AW39" s="91">
        <f t="shared" si="161"/>
        <v>1807</v>
      </c>
      <c r="AX39" s="89">
        <f>RCF!C$64</f>
        <v>18.07</v>
      </c>
      <c r="AY39" s="28">
        <f t="shared" si="159"/>
        <v>1832.3</v>
      </c>
      <c r="AZ39" s="89">
        <f>RCF!C$39</f>
        <v>18.323333333333334</v>
      </c>
      <c r="BA39" s="28">
        <f t="shared" si="160"/>
        <v>1757.9</v>
      </c>
      <c r="BB39" s="89">
        <f>RCF!C$41</f>
        <v>17.579000000000001</v>
      </c>
    </row>
    <row r="40" spans="1:58" s="95" customFormat="1" ht="25.5" x14ac:dyDescent="0.2">
      <c r="A40" s="47" t="s">
        <v>60</v>
      </c>
      <c r="B40" s="94" t="s">
        <v>61</v>
      </c>
      <c r="C40" s="34">
        <v>50</v>
      </c>
      <c r="D40" s="28">
        <f t="shared" si="140"/>
        <v>3407.1</v>
      </c>
      <c r="E40" s="89">
        <f>RCF!C$43</f>
        <v>68.141894999999991</v>
      </c>
      <c r="F40" s="28">
        <f t="shared" si="141"/>
        <v>878.8</v>
      </c>
      <c r="G40" s="89">
        <f>RCF!C$5</f>
        <v>17.577000000000002</v>
      </c>
      <c r="H40" s="28">
        <f t="shared" si="142"/>
        <v>878.8</v>
      </c>
      <c r="I40" s="89">
        <f t="shared" si="143"/>
        <v>17.577000000000002</v>
      </c>
      <c r="J40" s="31">
        <f t="shared" si="144"/>
        <v>966.7</v>
      </c>
      <c r="K40" s="31">
        <f t="shared" si="144"/>
        <v>1204</v>
      </c>
      <c r="L40" s="31">
        <f t="shared" si="144"/>
        <v>1291.9000000000001</v>
      </c>
      <c r="M40" s="31">
        <f t="shared" si="144"/>
        <v>1423.7</v>
      </c>
      <c r="N40" s="31">
        <f t="shared" si="144"/>
        <v>1757.7</v>
      </c>
      <c r="O40" s="31">
        <f t="shared" si="144"/>
        <v>1889.5</v>
      </c>
      <c r="P40" s="31">
        <f t="shared" si="144"/>
        <v>2636.6</v>
      </c>
      <c r="Q40" s="28">
        <f t="shared" si="145"/>
        <v>883</v>
      </c>
      <c r="R40" s="89">
        <f>RCF!C$7</f>
        <v>17.66</v>
      </c>
      <c r="S40" s="31">
        <f t="shared" si="146"/>
        <v>1147.9000000000001</v>
      </c>
      <c r="T40" s="31">
        <f t="shared" si="146"/>
        <v>1324.5</v>
      </c>
      <c r="U40" s="28">
        <f t="shared" si="147"/>
        <v>806.6</v>
      </c>
      <c r="V40" s="89">
        <f>RCF!S$54</f>
        <v>16.133333333333333</v>
      </c>
      <c r="W40" s="28">
        <f t="shared" si="148"/>
        <v>859.5</v>
      </c>
      <c r="X40" s="89">
        <f>RCF!S$56</f>
        <v>17.190000000000001</v>
      </c>
      <c r="Y40" s="31">
        <f t="shared" si="149"/>
        <v>945.4</v>
      </c>
      <c r="Z40" s="31">
        <f t="shared" si="149"/>
        <v>1177.5</v>
      </c>
      <c r="AA40" s="31">
        <f t="shared" si="149"/>
        <v>1392.3</v>
      </c>
      <c r="AB40" s="31">
        <f t="shared" si="149"/>
        <v>1263.4000000000001</v>
      </c>
      <c r="AC40" s="31">
        <f t="shared" si="149"/>
        <v>1865.1</v>
      </c>
      <c r="AD40" s="31">
        <f t="shared" si="149"/>
        <v>2578.5</v>
      </c>
      <c r="AE40" s="28">
        <f t="shared" si="150"/>
        <v>824</v>
      </c>
      <c r="AF40" s="89">
        <f>RCF!C$13</f>
        <v>16.48</v>
      </c>
      <c r="AG40" s="31">
        <f t="shared" si="151"/>
        <v>1359.6</v>
      </c>
      <c r="AH40" s="31">
        <f t="shared" si="151"/>
        <v>1730.4</v>
      </c>
      <c r="AI40" s="31">
        <f t="shared" si="151"/>
        <v>2472</v>
      </c>
      <c r="AJ40" s="28">
        <f t="shared" si="152"/>
        <v>861.6</v>
      </c>
      <c r="AK40" s="89">
        <f>RCF!C$25</f>
        <v>17.233333333333334</v>
      </c>
      <c r="AL40" s="28">
        <f t="shared" si="153"/>
        <v>1163.5</v>
      </c>
      <c r="AM40" s="89">
        <f>RCF!C$29</f>
        <v>23.27</v>
      </c>
      <c r="AN40" s="28">
        <f t="shared" si="154"/>
        <v>925.7</v>
      </c>
      <c r="AO40" s="89">
        <f>RCF!C$33</f>
        <v>18.513999999999999</v>
      </c>
      <c r="AP40" s="31">
        <f t="shared" si="155"/>
        <v>1388.5</v>
      </c>
      <c r="AQ40" s="28">
        <f t="shared" si="156"/>
        <v>865.3</v>
      </c>
      <c r="AR40" s="89">
        <f>RCF!C$35</f>
        <v>17.306666666666668</v>
      </c>
      <c r="AS40" s="31">
        <f t="shared" si="157"/>
        <v>1124.8</v>
      </c>
      <c r="AT40" s="31">
        <f t="shared" si="157"/>
        <v>1254.5999999999999</v>
      </c>
      <c r="AU40" s="28">
        <f t="shared" si="158"/>
        <v>893</v>
      </c>
      <c r="AV40" s="89">
        <f>RCF!C$37</f>
        <v>17.86</v>
      </c>
      <c r="AW40" s="91">
        <f t="shared" si="161"/>
        <v>903.5</v>
      </c>
      <c r="AX40" s="89">
        <f>RCF!C$64</f>
        <v>18.07</v>
      </c>
      <c r="AY40" s="28">
        <f t="shared" si="159"/>
        <v>916.1</v>
      </c>
      <c r="AZ40" s="89">
        <f>RCF!C$39</f>
        <v>18.323333333333334</v>
      </c>
      <c r="BA40" s="28">
        <f t="shared" si="160"/>
        <v>878.9</v>
      </c>
      <c r="BB40" s="89">
        <f>RCF!C$41</f>
        <v>17.579000000000001</v>
      </c>
    </row>
    <row r="41" spans="1:58" s="95" customFormat="1" ht="63.75" x14ac:dyDescent="0.2">
      <c r="A41" s="96" t="s">
        <v>62</v>
      </c>
      <c r="B41" s="97" t="s">
        <v>63</v>
      </c>
      <c r="C41" s="98">
        <v>30</v>
      </c>
      <c r="D41" s="28">
        <f t="shared" si="140"/>
        <v>2044.3</v>
      </c>
      <c r="E41" s="89">
        <f>RCF!C$43</f>
        <v>68.141894999999991</v>
      </c>
      <c r="F41" s="28">
        <f t="shared" si="141"/>
        <v>527.29999999999995</v>
      </c>
      <c r="G41" s="89">
        <f>RCF!C$5</f>
        <v>17.577000000000002</v>
      </c>
      <c r="H41" s="28">
        <f t="shared" si="142"/>
        <v>527.29999999999995</v>
      </c>
      <c r="I41" s="89">
        <f t="shared" si="143"/>
        <v>17.577000000000002</v>
      </c>
      <c r="J41" s="31">
        <f t="shared" si="144"/>
        <v>580</v>
      </c>
      <c r="K41" s="31">
        <f t="shared" si="144"/>
        <v>722.4</v>
      </c>
      <c r="L41" s="31">
        <f t="shared" si="144"/>
        <v>775.1</v>
      </c>
      <c r="M41" s="31">
        <f t="shared" si="144"/>
        <v>854.2</v>
      </c>
      <c r="N41" s="31">
        <f t="shared" si="144"/>
        <v>1054.5999999999999</v>
      </c>
      <c r="O41" s="31">
        <f t="shared" si="144"/>
        <v>1133.7</v>
      </c>
      <c r="P41" s="31">
        <f t="shared" si="144"/>
        <v>1581.9</v>
      </c>
      <c r="Q41" s="28">
        <f t="shared" si="145"/>
        <v>529.79999999999995</v>
      </c>
      <c r="R41" s="89">
        <f>RCF!C$7</f>
        <v>17.66</v>
      </c>
      <c r="S41" s="31">
        <f t="shared" si="146"/>
        <v>688.7</v>
      </c>
      <c r="T41" s="31">
        <f t="shared" si="146"/>
        <v>794.7</v>
      </c>
      <c r="U41" s="28">
        <f t="shared" si="147"/>
        <v>484</v>
      </c>
      <c r="V41" s="89">
        <f>RCF!S$54</f>
        <v>16.133333333333333</v>
      </c>
      <c r="W41" s="28">
        <f t="shared" si="148"/>
        <v>515.70000000000005</v>
      </c>
      <c r="X41" s="89">
        <f>RCF!S$56</f>
        <v>17.190000000000001</v>
      </c>
      <c r="Y41" s="31">
        <f t="shared" si="149"/>
        <v>567.20000000000005</v>
      </c>
      <c r="Z41" s="31">
        <f t="shared" si="149"/>
        <v>706.5</v>
      </c>
      <c r="AA41" s="31">
        <f t="shared" si="149"/>
        <v>835.4</v>
      </c>
      <c r="AB41" s="31">
        <f t="shared" si="149"/>
        <v>758</v>
      </c>
      <c r="AC41" s="31">
        <f t="shared" si="149"/>
        <v>1119</v>
      </c>
      <c r="AD41" s="31">
        <f t="shared" si="149"/>
        <v>1547.1</v>
      </c>
      <c r="AE41" s="28">
        <f t="shared" si="150"/>
        <v>494.4</v>
      </c>
      <c r="AF41" s="89">
        <f>RCF!C$13</f>
        <v>16.48</v>
      </c>
      <c r="AG41" s="31">
        <f t="shared" si="151"/>
        <v>815.8</v>
      </c>
      <c r="AH41" s="31">
        <f t="shared" si="151"/>
        <v>1038.2</v>
      </c>
      <c r="AI41" s="31">
        <f t="shared" si="151"/>
        <v>1483.2</v>
      </c>
      <c r="AJ41" s="28">
        <f t="shared" si="152"/>
        <v>517</v>
      </c>
      <c r="AK41" s="89">
        <f>RCF!C$25</f>
        <v>17.233333333333334</v>
      </c>
      <c r="AL41" s="28">
        <f t="shared" si="153"/>
        <v>698.1</v>
      </c>
      <c r="AM41" s="89">
        <f>RCF!C$29</f>
        <v>23.27</v>
      </c>
      <c r="AN41" s="28">
        <f t="shared" si="154"/>
        <v>555.4</v>
      </c>
      <c r="AO41" s="89">
        <f>RCF!C$33</f>
        <v>18.513999999999999</v>
      </c>
      <c r="AP41" s="31">
        <f t="shared" si="155"/>
        <v>833.1</v>
      </c>
      <c r="AQ41" s="28">
        <f t="shared" si="156"/>
        <v>519.20000000000005</v>
      </c>
      <c r="AR41" s="89">
        <f>RCF!C$35</f>
        <v>17.306666666666668</v>
      </c>
      <c r="AS41" s="31">
        <f t="shared" si="157"/>
        <v>674.9</v>
      </c>
      <c r="AT41" s="31">
        <f t="shared" si="157"/>
        <v>752.8</v>
      </c>
      <c r="AU41" s="28">
        <f t="shared" si="158"/>
        <v>535.79999999999995</v>
      </c>
      <c r="AV41" s="89">
        <f>RCF!C$37</f>
        <v>17.86</v>
      </c>
      <c r="AW41" s="91">
        <f t="shared" si="161"/>
        <v>542.1</v>
      </c>
      <c r="AX41" s="89">
        <f>RCF!C$64</f>
        <v>18.07</v>
      </c>
      <c r="AY41" s="28">
        <f t="shared" si="159"/>
        <v>549.70000000000005</v>
      </c>
      <c r="AZ41" s="89">
        <f>RCF!C$39</f>
        <v>18.323333333333334</v>
      </c>
      <c r="BA41" s="28">
        <f t="shared" si="160"/>
        <v>527.29999999999995</v>
      </c>
      <c r="BB41" s="89">
        <f>RCF!C$41</f>
        <v>17.579000000000001</v>
      </c>
    </row>
    <row r="42" spans="1:58" s="95" customFormat="1" ht="38.25" x14ac:dyDescent="0.2">
      <c r="A42" s="96" t="s">
        <v>64</v>
      </c>
      <c r="B42" s="97" t="s">
        <v>65</v>
      </c>
      <c r="C42" s="98">
        <v>137</v>
      </c>
      <c r="D42" s="28">
        <f t="shared" si="140"/>
        <v>9335.4</v>
      </c>
      <c r="E42" s="89">
        <f>RCF!C$43</f>
        <v>68.141894999999991</v>
      </c>
      <c r="F42" s="28">
        <f t="shared" si="141"/>
        <v>2408</v>
      </c>
      <c r="G42" s="89">
        <f>RCF!C$5</f>
        <v>17.577000000000002</v>
      </c>
      <c r="H42" s="28">
        <f t="shared" si="142"/>
        <v>2408</v>
      </c>
      <c r="I42" s="89">
        <f t="shared" si="143"/>
        <v>17.577000000000002</v>
      </c>
      <c r="J42" s="31">
        <f t="shared" si="144"/>
        <v>2648.9</v>
      </c>
      <c r="K42" s="31">
        <f t="shared" si="144"/>
        <v>3299</v>
      </c>
      <c r="L42" s="31">
        <f t="shared" si="144"/>
        <v>3539.8</v>
      </c>
      <c r="M42" s="31">
        <f t="shared" si="144"/>
        <v>3901</v>
      </c>
      <c r="N42" s="31">
        <f t="shared" si="144"/>
        <v>4816.1000000000004</v>
      </c>
      <c r="O42" s="31">
        <f t="shared" si="144"/>
        <v>5177.3</v>
      </c>
      <c r="P42" s="31">
        <f t="shared" si="144"/>
        <v>7224.1</v>
      </c>
      <c r="Q42" s="28">
        <f t="shared" si="145"/>
        <v>2419.4</v>
      </c>
      <c r="R42" s="89">
        <f>RCF!C$7</f>
        <v>17.66</v>
      </c>
      <c r="S42" s="31">
        <f t="shared" si="146"/>
        <v>3145.2</v>
      </c>
      <c r="T42" s="31">
        <f t="shared" si="146"/>
        <v>3629.1</v>
      </c>
      <c r="U42" s="28">
        <f t="shared" si="147"/>
        <v>2210.1999999999998</v>
      </c>
      <c r="V42" s="89">
        <f>RCF!S$54</f>
        <v>16.133333333333333</v>
      </c>
      <c r="W42" s="28">
        <f t="shared" si="148"/>
        <v>2355</v>
      </c>
      <c r="X42" s="89">
        <f>RCF!S$56</f>
        <v>17.190000000000001</v>
      </c>
      <c r="Y42" s="31">
        <f t="shared" si="149"/>
        <v>2590.5</v>
      </c>
      <c r="Z42" s="31">
        <f t="shared" si="149"/>
        <v>3226.3</v>
      </c>
      <c r="AA42" s="31">
        <f t="shared" si="149"/>
        <v>3815.1</v>
      </c>
      <c r="AB42" s="31">
        <f t="shared" si="149"/>
        <v>3461.8</v>
      </c>
      <c r="AC42" s="31">
        <f t="shared" si="149"/>
        <v>5110.3</v>
      </c>
      <c r="AD42" s="31">
        <f t="shared" si="149"/>
        <v>7065</v>
      </c>
      <c r="AE42" s="28">
        <f t="shared" si="150"/>
        <v>2257.6999999999998</v>
      </c>
      <c r="AF42" s="89">
        <f>RCF!C$13</f>
        <v>16.48</v>
      </c>
      <c r="AG42" s="31">
        <f t="shared" si="151"/>
        <v>3725.2</v>
      </c>
      <c r="AH42" s="31">
        <f t="shared" si="151"/>
        <v>4741.2</v>
      </c>
      <c r="AI42" s="31">
        <f t="shared" si="151"/>
        <v>6773.1</v>
      </c>
      <c r="AJ42" s="28">
        <f t="shared" si="152"/>
        <v>2360.9</v>
      </c>
      <c r="AK42" s="89">
        <f>RCF!C$25</f>
        <v>17.233333333333334</v>
      </c>
      <c r="AL42" s="28">
        <f t="shared" si="153"/>
        <v>3187.9</v>
      </c>
      <c r="AM42" s="89">
        <f>RCF!C$29</f>
        <v>23.27</v>
      </c>
      <c r="AN42" s="28">
        <f t="shared" si="154"/>
        <v>2536.4</v>
      </c>
      <c r="AO42" s="89">
        <f>RCF!C$33</f>
        <v>18.513999999999999</v>
      </c>
      <c r="AP42" s="31">
        <f t="shared" si="155"/>
        <v>3804.6</v>
      </c>
      <c r="AQ42" s="28">
        <f t="shared" si="156"/>
        <v>2371</v>
      </c>
      <c r="AR42" s="89">
        <f>RCF!C$35</f>
        <v>17.306666666666668</v>
      </c>
      <c r="AS42" s="31">
        <f t="shared" si="157"/>
        <v>3082.3</v>
      </c>
      <c r="AT42" s="31">
        <f t="shared" si="157"/>
        <v>3437.9</v>
      </c>
      <c r="AU42" s="28">
        <f t="shared" si="158"/>
        <v>2446.8000000000002</v>
      </c>
      <c r="AV42" s="89">
        <f>RCF!C$37</f>
        <v>17.86</v>
      </c>
      <c r="AW42" s="91">
        <f t="shared" si="161"/>
        <v>2475.5</v>
      </c>
      <c r="AX42" s="89">
        <f>RCF!C$64</f>
        <v>18.07</v>
      </c>
      <c r="AY42" s="28">
        <f t="shared" si="159"/>
        <v>2510.1999999999998</v>
      </c>
      <c r="AZ42" s="89">
        <f>RCF!C$39</f>
        <v>18.323333333333334</v>
      </c>
      <c r="BA42" s="28">
        <f t="shared" si="160"/>
        <v>2408.3000000000002</v>
      </c>
      <c r="BB42" s="89">
        <f>RCF!C$41</f>
        <v>17.579000000000001</v>
      </c>
    </row>
    <row r="43" spans="1:58" s="95" customFormat="1" ht="38.25" x14ac:dyDescent="0.2">
      <c r="A43" s="96" t="s">
        <v>66</v>
      </c>
      <c r="B43" s="97" t="s">
        <v>67</v>
      </c>
      <c r="C43" s="98">
        <v>58</v>
      </c>
      <c r="D43" s="28">
        <f t="shared" si="140"/>
        <v>3952.2</v>
      </c>
      <c r="E43" s="89">
        <f>RCF!C$43</f>
        <v>68.141894999999991</v>
      </c>
      <c r="F43" s="28">
        <f t="shared" si="141"/>
        <v>1019.4</v>
      </c>
      <c r="G43" s="89">
        <f>RCF!C$5</f>
        <v>17.577000000000002</v>
      </c>
      <c r="H43" s="28">
        <f t="shared" si="142"/>
        <v>1019.4</v>
      </c>
      <c r="I43" s="89">
        <f t="shared" si="143"/>
        <v>17.577000000000002</v>
      </c>
      <c r="J43" s="31">
        <f t="shared" si="144"/>
        <v>1121.4000000000001</v>
      </c>
      <c r="K43" s="31">
        <f t="shared" si="144"/>
        <v>1396.7</v>
      </c>
      <c r="L43" s="31">
        <f t="shared" si="144"/>
        <v>1498.6</v>
      </c>
      <c r="M43" s="31">
        <f t="shared" si="144"/>
        <v>1651.5</v>
      </c>
      <c r="N43" s="31">
        <f t="shared" si="144"/>
        <v>2038.9</v>
      </c>
      <c r="O43" s="31">
        <f t="shared" si="144"/>
        <v>2191.9</v>
      </c>
      <c r="P43" s="31">
        <f t="shared" si="144"/>
        <v>3058.4</v>
      </c>
      <c r="Q43" s="28">
        <f t="shared" si="145"/>
        <v>1024.2</v>
      </c>
      <c r="R43" s="89">
        <f>RCF!C$7</f>
        <v>17.66</v>
      </c>
      <c r="S43" s="31">
        <f t="shared" si="146"/>
        <v>1331.4</v>
      </c>
      <c r="T43" s="31">
        <f t="shared" si="146"/>
        <v>1536.3</v>
      </c>
      <c r="U43" s="28">
        <f t="shared" si="147"/>
        <v>935.7</v>
      </c>
      <c r="V43" s="89">
        <f>RCF!S$54</f>
        <v>16.133333333333333</v>
      </c>
      <c r="W43" s="28">
        <f t="shared" si="148"/>
        <v>997</v>
      </c>
      <c r="X43" s="89">
        <f>RCF!S$56</f>
        <v>17.190000000000001</v>
      </c>
      <c r="Y43" s="31">
        <f t="shared" si="149"/>
        <v>1096.7</v>
      </c>
      <c r="Z43" s="31">
        <f t="shared" si="149"/>
        <v>1365.8</v>
      </c>
      <c r="AA43" s="31">
        <f t="shared" si="149"/>
        <v>1615.1</v>
      </c>
      <c r="AB43" s="31">
        <f t="shared" si="149"/>
        <v>1465.5</v>
      </c>
      <c r="AC43" s="31">
        <f t="shared" si="149"/>
        <v>2163.4</v>
      </c>
      <c r="AD43" s="31">
        <f t="shared" si="149"/>
        <v>2991</v>
      </c>
      <c r="AE43" s="28">
        <f t="shared" si="150"/>
        <v>955.8</v>
      </c>
      <c r="AF43" s="89">
        <f>RCF!C$13</f>
        <v>16.48</v>
      </c>
      <c r="AG43" s="31">
        <f t="shared" si="151"/>
        <v>1577.1</v>
      </c>
      <c r="AH43" s="31">
        <f t="shared" si="151"/>
        <v>2007.2</v>
      </c>
      <c r="AI43" s="31">
        <f t="shared" si="151"/>
        <v>2867.4</v>
      </c>
      <c r="AJ43" s="28">
        <f t="shared" si="152"/>
        <v>999.5</v>
      </c>
      <c r="AK43" s="89">
        <f>RCF!C$25</f>
        <v>17.233333333333334</v>
      </c>
      <c r="AL43" s="28">
        <f t="shared" si="153"/>
        <v>1349.6</v>
      </c>
      <c r="AM43" s="89">
        <f>RCF!C$29</f>
        <v>23.27</v>
      </c>
      <c r="AN43" s="28">
        <f t="shared" si="154"/>
        <v>1073.8</v>
      </c>
      <c r="AO43" s="89">
        <f>RCF!C$33</f>
        <v>18.513999999999999</v>
      </c>
      <c r="AP43" s="31">
        <f t="shared" si="155"/>
        <v>1610.7</v>
      </c>
      <c r="AQ43" s="28">
        <f t="shared" si="156"/>
        <v>1003.7</v>
      </c>
      <c r="AR43" s="89">
        <f>RCF!C$35</f>
        <v>17.306666666666668</v>
      </c>
      <c r="AS43" s="31">
        <f t="shared" si="157"/>
        <v>1304.8</v>
      </c>
      <c r="AT43" s="31">
        <f t="shared" si="157"/>
        <v>1455.3</v>
      </c>
      <c r="AU43" s="28">
        <f t="shared" si="158"/>
        <v>1035.8</v>
      </c>
      <c r="AV43" s="89">
        <f>RCF!C$37</f>
        <v>17.86</v>
      </c>
      <c r="AW43" s="91">
        <f t="shared" si="161"/>
        <v>1048</v>
      </c>
      <c r="AX43" s="89">
        <f>RCF!C$64</f>
        <v>18.07</v>
      </c>
      <c r="AY43" s="28">
        <f t="shared" si="159"/>
        <v>1062.7</v>
      </c>
      <c r="AZ43" s="89">
        <f>RCF!C$39</f>
        <v>18.323333333333334</v>
      </c>
      <c r="BA43" s="28">
        <f t="shared" si="160"/>
        <v>1019.5</v>
      </c>
      <c r="BB43" s="89">
        <f>RCF!C$41</f>
        <v>17.579000000000001</v>
      </c>
    </row>
    <row r="44" spans="1:58" ht="38.25" x14ac:dyDescent="0.2">
      <c r="A44" s="47" t="s">
        <v>68</v>
      </c>
      <c r="B44" s="94" t="s">
        <v>69</v>
      </c>
      <c r="C44" s="34">
        <v>50</v>
      </c>
      <c r="D44" s="28">
        <f t="shared" si="140"/>
        <v>3407.1</v>
      </c>
      <c r="E44" s="89">
        <f>RCF!C$43</f>
        <v>68.141894999999991</v>
      </c>
      <c r="F44" s="28">
        <f t="shared" si="141"/>
        <v>878.8</v>
      </c>
      <c r="G44" s="89">
        <f>RCF!C$5</f>
        <v>17.577000000000002</v>
      </c>
      <c r="H44" s="28">
        <f t="shared" si="142"/>
        <v>878.8</v>
      </c>
      <c r="I44" s="89">
        <f t="shared" si="143"/>
        <v>17.577000000000002</v>
      </c>
      <c r="J44" s="31">
        <f t="shared" si="144"/>
        <v>966.7</v>
      </c>
      <c r="K44" s="31">
        <f t="shared" si="144"/>
        <v>1204</v>
      </c>
      <c r="L44" s="31">
        <f t="shared" si="144"/>
        <v>1291.9000000000001</v>
      </c>
      <c r="M44" s="31">
        <f t="shared" si="144"/>
        <v>1423.7</v>
      </c>
      <c r="N44" s="31">
        <f t="shared" si="144"/>
        <v>1757.7</v>
      </c>
      <c r="O44" s="31">
        <f t="shared" si="144"/>
        <v>1889.5</v>
      </c>
      <c r="P44" s="31">
        <f t="shared" si="144"/>
        <v>2636.6</v>
      </c>
      <c r="Q44" s="28">
        <f t="shared" si="145"/>
        <v>883</v>
      </c>
      <c r="R44" s="89">
        <f>RCF!C$7</f>
        <v>17.66</v>
      </c>
      <c r="S44" s="31">
        <f t="shared" si="146"/>
        <v>1147.9000000000001</v>
      </c>
      <c r="T44" s="31">
        <f t="shared" si="146"/>
        <v>1324.5</v>
      </c>
      <c r="U44" s="28">
        <f t="shared" si="147"/>
        <v>806.6</v>
      </c>
      <c r="V44" s="89">
        <f>RCF!S$54</f>
        <v>16.133333333333333</v>
      </c>
      <c r="W44" s="28">
        <f t="shared" si="148"/>
        <v>859.5</v>
      </c>
      <c r="X44" s="89">
        <f>RCF!S$56</f>
        <v>17.190000000000001</v>
      </c>
      <c r="Y44" s="31">
        <f t="shared" si="149"/>
        <v>945.4</v>
      </c>
      <c r="Z44" s="31">
        <f t="shared" si="149"/>
        <v>1177.5</v>
      </c>
      <c r="AA44" s="31">
        <f t="shared" si="149"/>
        <v>1392.3</v>
      </c>
      <c r="AB44" s="31">
        <f t="shared" si="149"/>
        <v>1263.4000000000001</v>
      </c>
      <c r="AC44" s="31">
        <f t="shared" si="149"/>
        <v>1865.1</v>
      </c>
      <c r="AD44" s="31">
        <f t="shared" si="149"/>
        <v>2578.5</v>
      </c>
      <c r="AE44" s="28">
        <f t="shared" si="150"/>
        <v>824</v>
      </c>
      <c r="AF44" s="89">
        <f>RCF!C$13</f>
        <v>16.48</v>
      </c>
      <c r="AG44" s="31">
        <f t="shared" si="151"/>
        <v>1359.6</v>
      </c>
      <c r="AH44" s="31">
        <f t="shared" si="151"/>
        <v>1730.4</v>
      </c>
      <c r="AI44" s="31">
        <f t="shared" si="151"/>
        <v>2472</v>
      </c>
      <c r="AJ44" s="28">
        <f t="shared" si="152"/>
        <v>861.6</v>
      </c>
      <c r="AK44" s="89">
        <f>RCF!C$25</f>
        <v>17.233333333333334</v>
      </c>
      <c r="AL44" s="28">
        <f t="shared" si="153"/>
        <v>1163.5</v>
      </c>
      <c r="AM44" s="89">
        <f>RCF!C$29</f>
        <v>23.27</v>
      </c>
      <c r="AN44" s="28">
        <f t="shared" si="154"/>
        <v>925.7</v>
      </c>
      <c r="AO44" s="89">
        <f>RCF!C$33</f>
        <v>18.513999999999999</v>
      </c>
      <c r="AP44" s="31">
        <f t="shared" si="155"/>
        <v>1388.5</v>
      </c>
      <c r="AQ44" s="28">
        <f t="shared" si="156"/>
        <v>865.3</v>
      </c>
      <c r="AR44" s="89">
        <f>RCF!C$35</f>
        <v>17.306666666666668</v>
      </c>
      <c r="AS44" s="31">
        <f t="shared" si="157"/>
        <v>1124.8</v>
      </c>
      <c r="AT44" s="31">
        <f t="shared" si="157"/>
        <v>1254.5999999999999</v>
      </c>
      <c r="AU44" s="28">
        <f t="shared" si="158"/>
        <v>893</v>
      </c>
      <c r="AV44" s="89">
        <f>RCF!C$37</f>
        <v>17.86</v>
      </c>
      <c r="AW44" s="91">
        <f t="shared" si="161"/>
        <v>903.5</v>
      </c>
      <c r="AX44" s="89">
        <f>RCF!C$64</f>
        <v>18.07</v>
      </c>
      <c r="AY44" s="28">
        <f t="shared" si="159"/>
        <v>916.1</v>
      </c>
      <c r="AZ44" s="89">
        <f>RCF!C$39</f>
        <v>18.323333333333334</v>
      </c>
      <c r="BA44" s="28">
        <f t="shared" si="160"/>
        <v>878.9</v>
      </c>
      <c r="BB44" s="89">
        <f>RCF!C$41</f>
        <v>17.579000000000001</v>
      </c>
      <c r="BC44" s="95"/>
      <c r="BD44" s="95"/>
      <c r="BE44" s="95"/>
      <c r="BF44" s="95"/>
    </row>
    <row r="45" spans="1:58" x14ac:dyDescent="0.2">
      <c r="A45" s="47">
        <v>1230</v>
      </c>
      <c r="B45" s="33" t="s">
        <v>160</v>
      </c>
      <c r="C45" s="34">
        <v>6</v>
      </c>
      <c r="D45" s="28">
        <f t="shared" si="140"/>
        <v>408.9</v>
      </c>
      <c r="E45" s="89">
        <f>RCF!C$43</f>
        <v>68.141894999999991</v>
      </c>
      <c r="F45" s="28">
        <f t="shared" si="141"/>
        <v>105.4</v>
      </c>
      <c r="G45" s="89">
        <f>RCF!C$5</f>
        <v>17.577000000000002</v>
      </c>
      <c r="H45" s="28">
        <f t="shared" si="142"/>
        <v>105.4</v>
      </c>
      <c r="I45" s="89">
        <f t="shared" si="143"/>
        <v>17.577000000000002</v>
      </c>
      <c r="J45" s="31">
        <f t="shared" si="144"/>
        <v>116</v>
      </c>
      <c r="K45" s="31">
        <f t="shared" si="144"/>
        <v>144.5</v>
      </c>
      <c r="L45" s="31">
        <f t="shared" si="144"/>
        <v>155</v>
      </c>
      <c r="M45" s="31">
        <f t="shared" si="144"/>
        <v>170.8</v>
      </c>
      <c r="N45" s="31">
        <f t="shared" si="144"/>
        <v>210.9</v>
      </c>
      <c r="O45" s="31">
        <f t="shared" si="144"/>
        <v>226.7</v>
      </c>
      <c r="P45" s="31">
        <f t="shared" si="144"/>
        <v>316.39999999999998</v>
      </c>
      <c r="Q45" s="28">
        <f t="shared" si="145"/>
        <v>105.9</v>
      </c>
      <c r="R45" s="89">
        <f>RCF!C$7</f>
        <v>17.66</v>
      </c>
      <c r="S45" s="31">
        <f t="shared" si="146"/>
        <v>137.6</v>
      </c>
      <c r="T45" s="31">
        <f t="shared" si="146"/>
        <v>158.80000000000001</v>
      </c>
      <c r="U45" s="28">
        <f t="shared" si="147"/>
        <v>102.2</v>
      </c>
      <c r="V45" s="89">
        <f>RCF!C$9</f>
        <v>17.033999999999999</v>
      </c>
      <c r="W45" s="28">
        <f t="shared" si="148"/>
        <v>102.2</v>
      </c>
      <c r="X45" s="89">
        <f t="shared" ref="X45:X69" si="162">V45</f>
        <v>17.033999999999999</v>
      </c>
      <c r="Y45" s="31">
        <f t="shared" si="149"/>
        <v>112.4</v>
      </c>
      <c r="Z45" s="31">
        <f t="shared" si="149"/>
        <v>140</v>
      </c>
      <c r="AA45" s="31">
        <f t="shared" si="149"/>
        <v>165.5</v>
      </c>
      <c r="AB45" s="31">
        <f t="shared" si="149"/>
        <v>150.19999999999999</v>
      </c>
      <c r="AC45" s="31">
        <f t="shared" si="149"/>
        <v>221.7</v>
      </c>
      <c r="AD45" s="31">
        <f t="shared" si="149"/>
        <v>306.60000000000002</v>
      </c>
      <c r="AE45" s="28">
        <f t="shared" si="150"/>
        <v>98.8</v>
      </c>
      <c r="AF45" s="89">
        <f>RCF!C$13</f>
        <v>16.48</v>
      </c>
      <c r="AG45" s="31">
        <f t="shared" si="151"/>
        <v>163</v>
      </c>
      <c r="AH45" s="31">
        <f t="shared" si="151"/>
        <v>207.5</v>
      </c>
      <c r="AI45" s="31">
        <f t="shared" si="151"/>
        <v>296.39999999999998</v>
      </c>
      <c r="AJ45" s="28">
        <f t="shared" si="152"/>
        <v>103.4</v>
      </c>
      <c r="AK45" s="89">
        <f>RCF!C$25</f>
        <v>17.233333333333334</v>
      </c>
      <c r="AL45" s="28">
        <f t="shared" si="153"/>
        <v>139.6</v>
      </c>
      <c r="AM45" s="89">
        <f>RCF!C$29</f>
        <v>23.27</v>
      </c>
      <c r="AN45" s="28">
        <f t="shared" si="154"/>
        <v>111</v>
      </c>
      <c r="AO45" s="89">
        <f>RCF!C$33</f>
        <v>18.513999999999999</v>
      </c>
      <c r="AP45" s="31">
        <f t="shared" si="155"/>
        <v>166.5</v>
      </c>
      <c r="AQ45" s="28">
        <f t="shared" si="156"/>
        <v>103.8</v>
      </c>
      <c r="AR45" s="89">
        <f>RCF!C$35</f>
        <v>17.306666666666668</v>
      </c>
      <c r="AS45" s="31">
        <f t="shared" si="157"/>
        <v>134.9</v>
      </c>
      <c r="AT45" s="31">
        <f t="shared" si="157"/>
        <v>150.5</v>
      </c>
      <c r="AU45" s="28">
        <f t="shared" si="158"/>
        <v>107.1</v>
      </c>
      <c r="AV45" s="89">
        <f>RCF!C$37</f>
        <v>17.86</v>
      </c>
      <c r="AW45" s="91">
        <f t="shared" si="161"/>
        <v>108.4</v>
      </c>
      <c r="AX45" s="89">
        <f>RCF!C$64</f>
        <v>18.07</v>
      </c>
      <c r="AY45" s="28">
        <f t="shared" si="159"/>
        <v>109.9</v>
      </c>
      <c r="AZ45" s="89">
        <f>RCF!C$39</f>
        <v>18.323333333333334</v>
      </c>
      <c r="BA45" s="28">
        <f t="shared" si="160"/>
        <v>105.4</v>
      </c>
      <c r="BB45" s="89">
        <f>RCF!C$41</f>
        <v>17.579000000000001</v>
      </c>
    </row>
    <row r="46" spans="1:58" x14ac:dyDescent="0.2">
      <c r="A46" s="49" t="s">
        <v>177</v>
      </c>
      <c r="B46" s="36" t="s">
        <v>39</v>
      </c>
      <c r="C46" s="48">
        <v>60</v>
      </c>
      <c r="D46" s="50">
        <f t="shared" si="140"/>
        <v>1005.4</v>
      </c>
      <c r="E46" s="51">
        <f>BB46</f>
        <v>16.757000000000001</v>
      </c>
      <c r="F46" s="28">
        <f t="shared" si="141"/>
        <v>1005.1</v>
      </c>
      <c r="G46" s="89">
        <f>RCF!F$5</f>
        <v>16.753</v>
      </c>
      <c r="H46" s="28">
        <f t="shared" si="142"/>
        <v>1005.1</v>
      </c>
      <c r="I46" s="89">
        <f t="shared" si="143"/>
        <v>16.753</v>
      </c>
      <c r="J46" s="31">
        <f t="shared" si="144"/>
        <v>1105.7</v>
      </c>
      <c r="K46" s="31">
        <f t="shared" si="144"/>
        <v>1377.1</v>
      </c>
      <c r="L46" s="31">
        <f t="shared" si="144"/>
        <v>1477.6</v>
      </c>
      <c r="M46" s="31">
        <f t="shared" si="144"/>
        <v>1628.4</v>
      </c>
      <c r="N46" s="31">
        <f t="shared" si="144"/>
        <v>2010.4</v>
      </c>
      <c r="O46" s="31">
        <f t="shared" si="144"/>
        <v>2161.1</v>
      </c>
      <c r="P46" s="31">
        <f t="shared" si="144"/>
        <v>3015.5</v>
      </c>
      <c r="Q46" s="28">
        <f t="shared" si="145"/>
        <v>1010.1</v>
      </c>
      <c r="R46" s="89">
        <f>RCF!F$7</f>
        <v>16.835999999999999</v>
      </c>
      <c r="S46" s="31">
        <f t="shared" si="146"/>
        <v>1313.1</v>
      </c>
      <c r="T46" s="31">
        <f t="shared" si="146"/>
        <v>1515.1</v>
      </c>
      <c r="U46" s="28">
        <f t="shared" si="147"/>
        <v>974.2</v>
      </c>
      <c r="V46" s="89">
        <f>RCF!F$9</f>
        <v>16.238</v>
      </c>
      <c r="W46" s="28">
        <f t="shared" si="148"/>
        <v>974.2</v>
      </c>
      <c r="X46" s="89">
        <f t="shared" si="162"/>
        <v>16.238</v>
      </c>
      <c r="Y46" s="31">
        <f t="shared" si="149"/>
        <v>1071.5999999999999</v>
      </c>
      <c r="Z46" s="31">
        <f t="shared" si="149"/>
        <v>1334.6</v>
      </c>
      <c r="AA46" s="31">
        <f t="shared" si="149"/>
        <v>1578.2</v>
      </c>
      <c r="AB46" s="31">
        <f t="shared" si="149"/>
        <v>1432</v>
      </c>
      <c r="AC46" s="31">
        <f t="shared" si="149"/>
        <v>2114</v>
      </c>
      <c r="AD46" s="31">
        <f t="shared" si="149"/>
        <v>2922.6</v>
      </c>
      <c r="AE46" s="28">
        <f t="shared" si="150"/>
        <v>943.8</v>
      </c>
      <c r="AF46" s="89">
        <f>RCF!F$13</f>
        <v>15.73</v>
      </c>
      <c r="AG46" s="31">
        <f t="shared" si="151"/>
        <v>1557.3</v>
      </c>
      <c r="AH46" s="31">
        <f t="shared" si="151"/>
        <v>1982</v>
      </c>
      <c r="AI46" s="31">
        <f t="shared" si="151"/>
        <v>2831.4</v>
      </c>
      <c r="AJ46" s="28">
        <f t="shared" si="152"/>
        <v>985.5</v>
      </c>
      <c r="AK46" s="89">
        <f>RCF!F$25</f>
        <v>16.425999999999998</v>
      </c>
      <c r="AL46" s="28">
        <f t="shared" si="153"/>
        <v>1331</v>
      </c>
      <c r="AM46" s="89">
        <f>RCF!F$29</f>
        <v>22.184000000000001</v>
      </c>
      <c r="AN46" s="28">
        <f t="shared" si="154"/>
        <v>1058.8</v>
      </c>
      <c r="AO46" s="89">
        <f>RCF!F$33</f>
        <v>17.648</v>
      </c>
      <c r="AP46" s="31">
        <f t="shared" si="155"/>
        <v>1588.2</v>
      </c>
      <c r="AQ46" s="28">
        <f t="shared" si="156"/>
        <v>989.5</v>
      </c>
      <c r="AR46" s="89">
        <f>RCF!F$35</f>
        <v>16.492000000000001</v>
      </c>
      <c r="AS46" s="31">
        <f t="shared" si="157"/>
        <v>1286.3</v>
      </c>
      <c r="AT46" s="31">
        <f t="shared" si="157"/>
        <v>1434.7</v>
      </c>
      <c r="AU46" s="28">
        <f t="shared" si="158"/>
        <v>1021.9</v>
      </c>
      <c r="AV46" s="89">
        <f>RCF!F$37</f>
        <v>17.032</v>
      </c>
      <c r="AW46" s="91">
        <f t="shared" si="161"/>
        <v>1033.2</v>
      </c>
      <c r="AX46" s="89">
        <f>RCF!F$64</f>
        <v>17.22</v>
      </c>
      <c r="AY46" s="28">
        <f t="shared" si="159"/>
        <v>1041.5999999999999</v>
      </c>
      <c r="AZ46" s="89">
        <f>RCF!F$39</f>
        <v>17.36</v>
      </c>
      <c r="BA46" s="28">
        <f t="shared" si="160"/>
        <v>1005.4</v>
      </c>
      <c r="BB46" s="89">
        <f>RCF!F$41</f>
        <v>16.757000000000001</v>
      </c>
    </row>
    <row r="47" spans="1:58" x14ac:dyDescent="0.2">
      <c r="A47" s="47">
        <v>1552</v>
      </c>
      <c r="B47" s="33" t="s">
        <v>161</v>
      </c>
      <c r="C47" s="34">
        <v>80</v>
      </c>
      <c r="D47" s="28">
        <f t="shared" si="140"/>
        <v>5451.4</v>
      </c>
      <c r="E47" s="89">
        <f>RCF!C$43</f>
        <v>68.141894999999991</v>
      </c>
      <c r="F47" s="28">
        <f t="shared" si="141"/>
        <v>1406.1</v>
      </c>
      <c r="G47" s="89">
        <f>RCF!C$5</f>
        <v>17.577000000000002</v>
      </c>
      <c r="H47" s="28">
        <f t="shared" si="142"/>
        <v>1406.1</v>
      </c>
      <c r="I47" s="89">
        <f t="shared" si="143"/>
        <v>17.577000000000002</v>
      </c>
      <c r="J47" s="31">
        <f t="shared" ref="J47:P56" si="163">ROUND($C47*$I47*J$6,1)</f>
        <v>1546.8</v>
      </c>
      <c r="K47" s="31">
        <f t="shared" si="163"/>
        <v>1926.4</v>
      </c>
      <c r="L47" s="31">
        <f t="shared" si="163"/>
        <v>2067.1</v>
      </c>
      <c r="M47" s="31">
        <f t="shared" si="163"/>
        <v>2278</v>
      </c>
      <c r="N47" s="31">
        <f t="shared" si="163"/>
        <v>2812.3</v>
      </c>
      <c r="O47" s="31">
        <f t="shared" si="163"/>
        <v>3023.2</v>
      </c>
      <c r="P47" s="31">
        <f t="shared" si="163"/>
        <v>4218.5</v>
      </c>
      <c r="Q47" s="28">
        <f t="shared" si="145"/>
        <v>1412.8</v>
      </c>
      <c r="R47" s="89">
        <f>RCF!C$7</f>
        <v>17.66</v>
      </c>
      <c r="S47" s="31">
        <f t="shared" si="146"/>
        <v>1836.6</v>
      </c>
      <c r="T47" s="31">
        <f t="shared" si="146"/>
        <v>2119.1999999999998</v>
      </c>
      <c r="U47" s="28">
        <f t="shared" si="147"/>
        <v>1362.7</v>
      </c>
      <c r="V47" s="89">
        <f>RCF!C$9</f>
        <v>17.033999999999999</v>
      </c>
      <c r="W47" s="28">
        <f t="shared" si="148"/>
        <v>1362.7</v>
      </c>
      <c r="X47" s="89">
        <f t="shared" si="162"/>
        <v>17.033999999999999</v>
      </c>
      <c r="Y47" s="31">
        <f t="shared" ref="Y47:AD56" si="164">ROUNDDOWN($W47*Y$6,1)</f>
        <v>1498.9</v>
      </c>
      <c r="Z47" s="31">
        <f t="shared" si="164"/>
        <v>1866.8</v>
      </c>
      <c r="AA47" s="31">
        <f t="shared" si="164"/>
        <v>2207.5</v>
      </c>
      <c r="AB47" s="31">
        <f t="shared" si="164"/>
        <v>2003.1</v>
      </c>
      <c r="AC47" s="31">
        <f t="shared" si="164"/>
        <v>2957</v>
      </c>
      <c r="AD47" s="31">
        <f t="shared" si="164"/>
        <v>4088.1</v>
      </c>
      <c r="AE47" s="28">
        <f t="shared" si="150"/>
        <v>1318.4</v>
      </c>
      <c r="AF47" s="89">
        <f>RCF!C$13</f>
        <v>16.48</v>
      </c>
      <c r="AG47" s="31">
        <f t="shared" si="151"/>
        <v>2175.4</v>
      </c>
      <c r="AH47" s="31">
        <f t="shared" si="151"/>
        <v>2768.6</v>
      </c>
      <c r="AI47" s="31">
        <f t="shared" si="151"/>
        <v>3955.2</v>
      </c>
      <c r="AJ47" s="28">
        <f t="shared" si="152"/>
        <v>1378.6</v>
      </c>
      <c r="AK47" s="89">
        <f>RCF!C$25</f>
        <v>17.233333333333334</v>
      </c>
      <c r="AL47" s="28">
        <f t="shared" si="153"/>
        <v>1861.6</v>
      </c>
      <c r="AM47" s="89">
        <f>RCF!C$29</f>
        <v>23.27</v>
      </c>
      <c r="AN47" s="28">
        <f t="shared" si="154"/>
        <v>1481.1</v>
      </c>
      <c r="AO47" s="89">
        <f>RCF!C$33</f>
        <v>18.513999999999999</v>
      </c>
      <c r="AP47" s="31">
        <f t="shared" si="155"/>
        <v>2221.6</v>
      </c>
      <c r="AQ47" s="28">
        <f t="shared" si="156"/>
        <v>1384.5</v>
      </c>
      <c r="AR47" s="89">
        <f>RCF!C$35</f>
        <v>17.306666666666668</v>
      </c>
      <c r="AS47" s="31">
        <f t="shared" si="157"/>
        <v>1799.8</v>
      </c>
      <c r="AT47" s="31">
        <f t="shared" si="157"/>
        <v>2007.5</v>
      </c>
      <c r="AU47" s="28">
        <f t="shared" si="158"/>
        <v>1428.8</v>
      </c>
      <c r="AV47" s="89">
        <f>RCF!C$37</f>
        <v>17.86</v>
      </c>
      <c r="AW47" s="91">
        <f t="shared" si="161"/>
        <v>1445.6</v>
      </c>
      <c r="AX47" s="89">
        <f>RCF!C$64</f>
        <v>18.07</v>
      </c>
      <c r="AY47" s="28">
        <f t="shared" si="159"/>
        <v>1465.8</v>
      </c>
      <c r="AZ47" s="89">
        <f>RCF!C$39</f>
        <v>18.323333333333334</v>
      </c>
      <c r="BA47" s="28">
        <f t="shared" si="160"/>
        <v>1406.3</v>
      </c>
      <c r="BB47" s="89">
        <f>RCF!C$41</f>
        <v>17.579000000000001</v>
      </c>
    </row>
    <row r="48" spans="1:58" x14ac:dyDescent="0.2">
      <c r="A48" s="47">
        <v>1580</v>
      </c>
      <c r="B48" s="36" t="s">
        <v>33</v>
      </c>
      <c r="C48" s="48">
        <v>110</v>
      </c>
      <c r="D48" s="28">
        <f t="shared" si="140"/>
        <v>7495.6</v>
      </c>
      <c r="E48" s="89">
        <f>RCF!C$43</f>
        <v>68.141894999999991</v>
      </c>
      <c r="F48" s="28">
        <f t="shared" si="141"/>
        <v>1933.4</v>
      </c>
      <c r="G48" s="89">
        <f>RCF!C$5</f>
        <v>17.577000000000002</v>
      </c>
      <c r="H48" s="28">
        <f t="shared" si="142"/>
        <v>1933.4</v>
      </c>
      <c r="I48" s="89">
        <f t="shared" si="143"/>
        <v>17.577000000000002</v>
      </c>
      <c r="J48" s="31">
        <f t="shared" si="163"/>
        <v>2126.8000000000002</v>
      </c>
      <c r="K48" s="31">
        <f t="shared" si="163"/>
        <v>2648.9</v>
      </c>
      <c r="L48" s="31">
        <f t="shared" si="163"/>
        <v>2842.2</v>
      </c>
      <c r="M48" s="31">
        <f t="shared" si="163"/>
        <v>3132.2</v>
      </c>
      <c r="N48" s="31">
        <f t="shared" si="163"/>
        <v>3866.9</v>
      </c>
      <c r="O48" s="31">
        <f t="shared" si="163"/>
        <v>4157</v>
      </c>
      <c r="P48" s="31">
        <f t="shared" si="163"/>
        <v>5800.4</v>
      </c>
      <c r="Q48" s="28">
        <f t="shared" si="145"/>
        <v>1942.6</v>
      </c>
      <c r="R48" s="89">
        <f>RCF!C$7</f>
        <v>17.66</v>
      </c>
      <c r="S48" s="31">
        <f t="shared" si="146"/>
        <v>2525.3000000000002</v>
      </c>
      <c r="T48" s="31">
        <f t="shared" si="146"/>
        <v>2913.9</v>
      </c>
      <c r="U48" s="28">
        <f t="shared" si="147"/>
        <v>1873.7</v>
      </c>
      <c r="V48" s="89">
        <f>RCF!C$9</f>
        <v>17.033999999999999</v>
      </c>
      <c r="W48" s="28">
        <f t="shared" si="148"/>
        <v>1873.7</v>
      </c>
      <c r="X48" s="89">
        <f t="shared" si="162"/>
        <v>17.033999999999999</v>
      </c>
      <c r="Y48" s="31">
        <f t="shared" si="164"/>
        <v>2061</v>
      </c>
      <c r="Z48" s="31">
        <f t="shared" si="164"/>
        <v>2566.9</v>
      </c>
      <c r="AA48" s="31">
        <f t="shared" si="164"/>
        <v>3035.3</v>
      </c>
      <c r="AB48" s="31">
        <f t="shared" si="164"/>
        <v>2754.3</v>
      </c>
      <c r="AC48" s="31">
        <f t="shared" si="164"/>
        <v>4065.9</v>
      </c>
      <c r="AD48" s="31">
        <f t="shared" si="164"/>
        <v>5621.1</v>
      </c>
      <c r="AE48" s="28">
        <f t="shared" si="150"/>
        <v>1812.8</v>
      </c>
      <c r="AF48" s="89">
        <f>RCF!C$13</f>
        <v>16.48</v>
      </c>
      <c r="AG48" s="31">
        <f t="shared" si="151"/>
        <v>2991.1</v>
      </c>
      <c r="AH48" s="31">
        <f t="shared" si="151"/>
        <v>3806.9</v>
      </c>
      <c r="AI48" s="31">
        <f t="shared" si="151"/>
        <v>5438.4</v>
      </c>
      <c r="AJ48" s="28">
        <f t="shared" si="152"/>
        <v>1895.6</v>
      </c>
      <c r="AK48" s="89">
        <f>RCF!C$25</f>
        <v>17.233333333333334</v>
      </c>
      <c r="AL48" s="28">
        <f t="shared" si="153"/>
        <v>2559.6999999999998</v>
      </c>
      <c r="AM48" s="89">
        <f>RCF!C$29</f>
        <v>23.27</v>
      </c>
      <c r="AN48" s="28">
        <f t="shared" si="154"/>
        <v>2036.5</v>
      </c>
      <c r="AO48" s="89">
        <f>RCF!C$33</f>
        <v>18.513999999999999</v>
      </c>
      <c r="AP48" s="31">
        <f t="shared" si="155"/>
        <v>3054.7</v>
      </c>
      <c r="AQ48" s="28">
        <f t="shared" si="156"/>
        <v>1903.7</v>
      </c>
      <c r="AR48" s="89">
        <f>RCF!C$35</f>
        <v>17.306666666666668</v>
      </c>
      <c r="AS48" s="31">
        <f t="shared" si="157"/>
        <v>2474.8000000000002</v>
      </c>
      <c r="AT48" s="31">
        <f t="shared" si="157"/>
        <v>2760.3</v>
      </c>
      <c r="AU48" s="28">
        <f t="shared" si="158"/>
        <v>1964.6</v>
      </c>
      <c r="AV48" s="89">
        <f>RCF!C$37</f>
        <v>17.86</v>
      </c>
      <c r="AW48" s="91">
        <f t="shared" ref="AW48:AW69" si="165">ROUNDDOWN(AX48*C48,1)</f>
        <v>1987.7</v>
      </c>
      <c r="AX48" s="89">
        <f>RCF!C$64</f>
        <v>18.07</v>
      </c>
      <c r="AY48" s="28">
        <f t="shared" si="159"/>
        <v>2015.5</v>
      </c>
      <c r="AZ48" s="89">
        <f>RCF!C$39</f>
        <v>18.323333333333334</v>
      </c>
      <c r="BA48" s="28">
        <f t="shared" si="160"/>
        <v>1933.6</v>
      </c>
      <c r="BB48" s="89">
        <f>RCF!C$41</f>
        <v>17.579000000000001</v>
      </c>
    </row>
    <row r="49" spans="1:54" ht="25.5" x14ac:dyDescent="0.2">
      <c r="A49" s="47">
        <v>1582</v>
      </c>
      <c r="B49" s="33" t="s">
        <v>162</v>
      </c>
      <c r="C49" s="34">
        <v>150</v>
      </c>
      <c r="D49" s="28">
        <f t="shared" si="140"/>
        <v>10221.299999999999</v>
      </c>
      <c r="E49" s="89">
        <f>RCF!C$43</f>
        <v>68.141894999999991</v>
      </c>
      <c r="F49" s="28">
        <f t="shared" si="141"/>
        <v>2636.5</v>
      </c>
      <c r="G49" s="89">
        <f>RCF!C$5</f>
        <v>17.577000000000002</v>
      </c>
      <c r="H49" s="28">
        <f t="shared" si="142"/>
        <v>2636.5</v>
      </c>
      <c r="I49" s="89">
        <f t="shared" si="143"/>
        <v>17.577000000000002</v>
      </c>
      <c r="J49" s="31">
        <f t="shared" si="163"/>
        <v>2900.2</v>
      </c>
      <c r="K49" s="31">
        <f t="shared" si="163"/>
        <v>3612.1</v>
      </c>
      <c r="L49" s="31">
        <f t="shared" si="163"/>
        <v>3875.7</v>
      </c>
      <c r="M49" s="31">
        <f t="shared" si="163"/>
        <v>4271.2</v>
      </c>
      <c r="N49" s="31">
        <f t="shared" si="163"/>
        <v>5273.1</v>
      </c>
      <c r="O49" s="31">
        <f t="shared" si="163"/>
        <v>5668.6</v>
      </c>
      <c r="P49" s="31">
        <f t="shared" si="163"/>
        <v>7909.7</v>
      </c>
      <c r="Q49" s="28">
        <f t="shared" si="145"/>
        <v>2649</v>
      </c>
      <c r="R49" s="89">
        <f>RCF!C$7</f>
        <v>17.66</v>
      </c>
      <c r="S49" s="31">
        <f t="shared" si="146"/>
        <v>3443.7</v>
      </c>
      <c r="T49" s="31">
        <f t="shared" si="146"/>
        <v>3973.5</v>
      </c>
      <c r="U49" s="28">
        <f t="shared" si="147"/>
        <v>2555.1</v>
      </c>
      <c r="V49" s="89">
        <f>RCF!C$9</f>
        <v>17.033999999999999</v>
      </c>
      <c r="W49" s="28">
        <f t="shared" si="148"/>
        <v>2555.1</v>
      </c>
      <c r="X49" s="89">
        <f t="shared" si="162"/>
        <v>17.033999999999999</v>
      </c>
      <c r="Y49" s="31">
        <f t="shared" si="164"/>
        <v>2810.6</v>
      </c>
      <c r="Z49" s="31">
        <f t="shared" si="164"/>
        <v>3500.4</v>
      </c>
      <c r="AA49" s="31">
        <f t="shared" si="164"/>
        <v>4139.2</v>
      </c>
      <c r="AB49" s="31">
        <f t="shared" si="164"/>
        <v>3755.9</v>
      </c>
      <c r="AC49" s="31">
        <f t="shared" si="164"/>
        <v>5544.5</v>
      </c>
      <c r="AD49" s="31">
        <f t="shared" si="164"/>
        <v>7665.3</v>
      </c>
      <c r="AE49" s="28">
        <f t="shared" si="150"/>
        <v>2472</v>
      </c>
      <c r="AF49" s="89">
        <f>RCF!C$13</f>
        <v>16.48</v>
      </c>
      <c r="AG49" s="31">
        <f t="shared" si="151"/>
        <v>4078.8</v>
      </c>
      <c r="AH49" s="31">
        <f t="shared" si="151"/>
        <v>5191.2</v>
      </c>
      <c r="AI49" s="31">
        <f t="shared" si="151"/>
        <v>7416</v>
      </c>
      <c r="AJ49" s="28">
        <f t="shared" si="152"/>
        <v>2585</v>
      </c>
      <c r="AK49" s="89">
        <f>RCF!C$25</f>
        <v>17.233333333333334</v>
      </c>
      <c r="AL49" s="28">
        <f t="shared" si="153"/>
        <v>3490.5</v>
      </c>
      <c r="AM49" s="89">
        <f>RCF!C$29</f>
        <v>23.27</v>
      </c>
      <c r="AN49" s="28">
        <f t="shared" si="154"/>
        <v>2777.1</v>
      </c>
      <c r="AO49" s="89">
        <f>RCF!C$33</f>
        <v>18.513999999999999</v>
      </c>
      <c r="AP49" s="31">
        <f t="shared" si="155"/>
        <v>4165.6000000000004</v>
      </c>
      <c r="AQ49" s="28">
        <f t="shared" si="156"/>
        <v>2596</v>
      </c>
      <c r="AR49" s="89">
        <f>RCF!C$35</f>
        <v>17.306666666666668</v>
      </c>
      <c r="AS49" s="31">
        <f t="shared" si="157"/>
        <v>3374.8</v>
      </c>
      <c r="AT49" s="31">
        <f t="shared" si="157"/>
        <v>3764.2</v>
      </c>
      <c r="AU49" s="28">
        <f t="shared" si="158"/>
        <v>2679</v>
      </c>
      <c r="AV49" s="89">
        <f>RCF!C$37</f>
        <v>17.86</v>
      </c>
      <c r="AW49" s="91">
        <f t="shared" si="165"/>
        <v>2710.5</v>
      </c>
      <c r="AX49" s="89">
        <f>RCF!C$64</f>
        <v>18.07</v>
      </c>
      <c r="AY49" s="28">
        <f t="shared" si="159"/>
        <v>2748.5</v>
      </c>
      <c r="AZ49" s="89">
        <f>RCF!C$39</f>
        <v>18.323333333333334</v>
      </c>
      <c r="BA49" s="28">
        <f t="shared" si="160"/>
        <v>2636.8</v>
      </c>
      <c r="BB49" s="89">
        <f>RCF!C$41</f>
        <v>17.579000000000001</v>
      </c>
    </row>
    <row r="50" spans="1:54" ht="25.5" x14ac:dyDescent="0.2">
      <c r="A50" s="47">
        <v>1585</v>
      </c>
      <c r="B50" s="33" t="s">
        <v>163</v>
      </c>
      <c r="C50" s="34">
        <v>27</v>
      </c>
      <c r="D50" s="28">
        <f t="shared" si="140"/>
        <v>1839.8</v>
      </c>
      <c r="E50" s="89">
        <f>RCF!C$43</f>
        <v>68.141894999999991</v>
      </c>
      <c r="F50" s="28">
        <f t="shared" si="141"/>
        <v>474.5</v>
      </c>
      <c r="G50" s="89">
        <f>RCF!C$5</f>
        <v>17.577000000000002</v>
      </c>
      <c r="H50" s="28">
        <f t="shared" si="142"/>
        <v>474.5</v>
      </c>
      <c r="I50" s="89">
        <f t="shared" si="143"/>
        <v>17.577000000000002</v>
      </c>
      <c r="J50" s="31">
        <f t="shared" si="163"/>
        <v>522</v>
      </c>
      <c r="K50" s="31">
        <f t="shared" si="163"/>
        <v>650.20000000000005</v>
      </c>
      <c r="L50" s="31">
        <f t="shared" si="163"/>
        <v>697.6</v>
      </c>
      <c r="M50" s="31">
        <f t="shared" si="163"/>
        <v>768.8</v>
      </c>
      <c r="N50" s="31">
        <f t="shared" si="163"/>
        <v>949.2</v>
      </c>
      <c r="O50" s="31">
        <f t="shared" si="163"/>
        <v>1020.3</v>
      </c>
      <c r="P50" s="31">
        <f t="shared" si="163"/>
        <v>1423.7</v>
      </c>
      <c r="Q50" s="28">
        <f t="shared" si="145"/>
        <v>476.8</v>
      </c>
      <c r="R50" s="89">
        <f>RCF!C$7</f>
        <v>17.66</v>
      </c>
      <c r="S50" s="31">
        <f t="shared" si="146"/>
        <v>619.79999999999995</v>
      </c>
      <c r="T50" s="31">
        <f t="shared" si="146"/>
        <v>715.2</v>
      </c>
      <c r="U50" s="28">
        <f t="shared" si="147"/>
        <v>459.9</v>
      </c>
      <c r="V50" s="89">
        <f>RCF!C$9</f>
        <v>17.033999999999999</v>
      </c>
      <c r="W50" s="28">
        <f t="shared" si="148"/>
        <v>459.9</v>
      </c>
      <c r="X50" s="89">
        <f t="shared" si="162"/>
        <v>17.033999999999999</v>
      </c>
      <c r="Y50" s="31">
        <f t="shared" si="164"/>
        <v>505.8</v>
      </c>
      <c r="Z50" s="31">
        <f t="shared" si="164"/>
        <v>630</v>
      </c>
      <c r="AA50" s="31">
        <f t="shared" si="164"/>
        <v>745</v>
      </c>
      <c r="AB50" s="31">
        <f t="shared" si="164"/>
        <v>676</v>
      </c>
      <c r="AC50" s="31">
        <f t="shared" si="164"/>
        <v>997.9</v>
      </c>
      <c r="AD50" s="31">
        <f t="shared" si="164"/>
        <v>1379.7</v>
      </c>
      <c r="AE50" s="28">
        <f t="shared" si="150"/>
        <v>444.9</v>
      </c>
      <c r="AF50" s="89">
        <f>RCF!C$13</f>
        <v>16.48</v>
      </c>
      <c r="AG50" s="31">
        <f t="shared" si="151"/>
        <v>734.1</v>
      </c>
      <c r="AH50" s="31">
        <f t="shared" si="151"/>
        <v>934.3</v>
      </c>
      <c r="AI50" s="31">
        <f t="shared" si="151"/>
        <v>1334.7</v>
      </c>
      <c r="AJ50" s="28">
        <f t="shared" si="152"/>
        <v>465.3</v>
      </c>
      <c r="AK50" s="89">
        <f>RCF!C$25</f>
        <v>17.233333333333334</v>
      </c>
      <c r="AL50" s="28">
        <f t="shared" si="153"/>
        <v>628.20000000000005</v>
      </c>
      <c r="AM50" s="89">
        <f>RCF!C$29</f>
        <v>23.27</v>
      </c>
      <c r="AN50" s="28">
        <f t="shared" si="154"/>
        <v>499.8</v>
      </c>
      <c r="AO50" s="89">
        <f>RCF!C$33</f>
        <v>18.513999999999999</v>
      </c>
      <c r="AP50" s="31">
        <f t="shared" si="155"/>
        <v>749.7</v>
      </c>
      <c r="AQ50" s="28">
        <f t="shared" si="156"/>
        <v>467.2</v>
      </c>
      <c r="AR50" s="89">
        <f>RCF!C$35</f>
        <v>17.306666666666668</v>
      </c>
      <c r="AS50" s="31">
        <f t="shared" si="157"/>
        <v>607.29999999999995</v>
      </c>
      <c r="AT50" s="31">
        <f t="shared" si="157"/>
        <v>677.4</v>
      </c>
      <c r="AU50" s="28">
        <f t="shared" si="158"/>
        <v>482.2</v>
      </c>
      <c r="AV50" s="89">
        <f>RCF!C$37</f>
        <v>17.86</v>
      </c>
      <c r="AW50" s="91">
        <f t="shared" si="165"/>
        <v>487.8</v>
      </c>
      <c r="AX50" s="89">
        <f>RCF!C$64</f>
        <v>18.07</v>
      </c>
      <c r="AY50" s="28">
        <f t="shared" si="159"/>
        <v>494.7</v>
      </c>
      <c r="AZ50" s="89">
        <f>RCF!C$39</f>
        <v>18.323333333333334</v>
      </c>
      <c r="BA50" s="28">
        <f t="shared" si="160"/>
        <v>474.6</v>
      </c>
      <c r="BB50" s="89">
        <f>RCF!C$41</f>
        <v>17.579000000000001</v>
      </c>
    </row>
    <row r="51" spans="1:54" x14ac:dyDescent="0.2">
      <c r="A51" s="47">
        <v>1587</v>
      </c>
      <c r="B51" s="36" t="s">
        <v>40</v>
      </c>
      <c r="C51" s="48">
        <v>48.75</v>
      </c>
      <c r="D51" s="28">
        <f t="shared" si="140"/>
        <v>3321.9</v>
      </c>
      <c r="E51" s="89">
        <f>RCF!C$43</f>
        <v>68.141894999999991</v>
      </c>
      <c r="F51" s="28">
        <f t="shared" si="141"/>
        <v>856.8</v>
      </c>
      <c r="G51" s="89">
        <f>RCF!C$5</f>
        <v>17.577000000000002</v>
      </c>
      <c r="H51" s="28">
        <f t="shared" si="142"/>
        <v>856.8</v>
      </c>
      <c r="I51" s="89">
        <f t="shared" si="143"/>
        <v>17.577000000000002</v>
      </c>
      <c r="J51" s="31">
        <f t="shared" si="163"/>
        <v>942.6</v>
      </c>
      <c r="K51" s="31">
        <f t="shared" si="163"/>
        <v>1173.9000000000001</v>
      </c>
      <c r="L51" s="31">
        <f t="shared" si="163"/>
        <v>1259.5999999999999</v>
      </c>
      <c r="M51" s="31">
        <f t="shared" si="163"/>
        <v>1388.1</v>
      </c>
      <c r="N51" s="31">
        <f t="shared" si="163"/>
        <v>1713.8</v>
      </c>
      <c r="O51" s="31">
        <f t="shared" si="163"/>
        <v>1842.3</v>
      </c>
      <c r="P51" s="31">
        <f t="shared" si="163"/>
        <v>2570.6</v>
      </c>
      <c r="Q51" s="28">
        <f t="shared" si="145"/>
        <v>860.9</v>
      </c>
      <c r="R51" s="89">
        <f>RCF!C$7</f>
        <v>17.66</v>
      </c>
      <c r="S51" s="31">
        <f t="shared" si="146"/>
        <v>1119.0999999999999</v>
      </c>
      <c r="T51" s="31">
        <f t="shared" si="146"/>
        <v>1291.3</v>
      </c>
      <c r="U51" s="28">
        <f t="shared" si="147"/>
        <v>830.4</v>
      </c>
      <c r="V51" s="89">
        <f>RCF!C$9</f>
        <v>17.033999999999999</v>
      </c>
      <c r="W51" s="28">
        <f t="shared" si="148"/>
        <v>830.4</v>
      </c>
      <c r="X51" s="89">
        <f t="shared" si="162"/>
        <v>17.033999999999999</v>
      </c>
      <c r="Y51" s="31">
        <f t="shared" si="164"/>
        <v>913.4</v>
      </c>
      <c r="Z51" s="31">
        <f t="shared" si="164"/>
        <v>1137.5999999999999</v>
      </c>
      <c r="AA51" s="31">
        <f t="shared" si="164"/>
        <v>1345.2</v>
      </c>
      <c r="AB51" s="31">
        <f t="shared" si="164"/>
        <v>1220.5999999999999</v>
      </c>
      <c r="AC51" s="31">
        <f t="shared" si="164"/>
        <v>1801.9</v>
      </c>
      <c r="AD51" s="31">
        <f t="shared" si="164"/>
        <v>2491.1999999999998</v>
      </c>
      <c r="AE51" s="28">
        <f t="shared" si="150"/>
        <v>803.4</v>
      </c>
      <c r="AF51" s="89">
        <f>RCF!C$13</f>
        <v>16.48</v>
      </c>
      <c r="AG51" s="31">
        <f t="shared" si="151"/>
        <v>1325.6</v>
      </c>
      <c r="AH51" s="31">
        <f t="shared" si="151"/>
        <v>1687.1</v>
      </c>
      <c r="AI51" s="31">
        <f t="shared" si="151"/>
        <v>2410.1999999999998</v>
      </c>
      <c r="AJ51" s="28">
        <f t="shared" si="152"/>
        <v>840.1</v>
      </c>
      <c r="AK51" s="89">
        <f>RCF!C$25</f>
        <v>17.233333333333334</v>
      </c>
      <c r="AL51" s="28">
        <f t="shared" si="153"/>
        <v>1134.4000000000001</v>
      </c>
      <c r="AM51" s="89">
        <f>RCF!C$29</f>
        <v>23.27</v>
      </c>
      <c r="AN51" s="28">
        <f t="shared" si="154"/>
        <v>902.5</v>
      </c>
      <c r="AO51" s="89">
        <f>RCF!C$33</f>
        <v>18.513999999999999</v>
      </c>
      <c r="AP51" s="31">
        <f t="shared" si="155"/>
        <v>1353.7</v>
      </c>
      <c r="AQ51" s="28">
        <f t="shared" si="156"/>
        <v>843.7</v>
      </c>
      <c r="AR51" s="89">
        <f>RCF!C$35</f>
        <v>17.306666666666668</v>
      </c>
      <c r="AS51" s="31">
        <f t="shared" si="157"/>
        <v>1096.8</v>
      </c>
      <c r="AT51" s="31">
        <f t="shared" si="157"/>
        <v>1223.3</v>
      </c>
      <c r="AU51" s="28">
        <f t="shared" si="158"/>
        <v>870.6</v>
      </c>
      <c r="AV51" s="89">
        <f>RCF!C$37</f>
        <v>17.86</v>
      </c>
      <c r="AW51" s="91">
        <f t="shared" si="165"/>
        <v>880.9</v>
      </c>
      <c r="AX51" s="89">
        <f>RCF!C$64</f>
        <v>18.07</v>
      </c>
      <c r="AY51" s="28">
        <f t="shared" si="159"/>
        <v>893.2</v>
      </c>
      <c r="AZ51" s="89">
        <f>RCF!C$39</f>
        <v>18.323333333333334</v>
      </c>
      <c r="BA51" s="28">
        <f t="shared" si="160"/>
        <v>856.9</v>
      </c>
      <c r="BB51" s="89">
        <f>RCF!C$41</f>
        <v>17.579000000000001</v>
      </c>
    </row>
    <row r="52" spans="1:54" ht="25.5" x14ac:dyDescent="0.2">
      <c r="A52" s="47">
        <v>1588</v>
      </c>
      <c r="B52" s="33" t="s">
        <v>164</v>
      </c>
      <c r="C52" s="34">
        <v>25</v>
      </c>
      <c r="D52" s="28">
        <f t="shared" si="140"/>
        <v>1703.5</v>
      </c>
      <c r="E52" s="89">
        <f>RCF!C$43</f>
        <v>68.141894999999991</v>
      </c>
      <c r="F52" s="28">
        <f t="shared" si="141"/>
        <v>439.4</v>
      </c>
      <c r="G52" s="89">
        <f>RCF!C$5</f>
        <v>17.577000000000002</v>
      </c>
      <c r="H52" s="28">
        <f t="shared" si="142"/>
        <v>439.4</v>
      </c>
      <c r="I52" s="89">
        <f t="shared" si="143"/>
        <v>17.577000000000002</v>
      </c>
      <c r="J52" s="31">
        <f t="shared" si="163"/>
        <v>483.4</v>
      </c>
      <c r="K52" s="31">
        <f t="shared" si="163"/>
        <v>602</v>
      </c>
      <c r="L52" s="31">
        <f t="shared" si="163"/>
        <v>646</v>
      </c>
      <c r="M52" s="31">
        <f t="shared" si="163"/>
        <v>711.9</v>
      </c>
      <c r="N52" s="31">
        <f t="shared" si="163"/>
        <v>878.9</v>
      </c>
      <c r="O52" s="31">
        <f t="shared" si="163"/>
        <v>944.8</v>
      </c>
      <c r="P52" s="31">
        <f t="shared" si="163"/>
        <v>1318.3</v>
      </c>
      <c r="Q52" s="28">
        <f t="shared" si="145"/>
        <v>441.5</v>
      </c>
      <c r="R52" s="89">
        <f>RCF!C$7</f>
        <v>17.66</v>
      </c>
      <c r="S52" s="31">
        <f t="shared" si="146"/>
        <v>573.9</v>
      </c>
      <c r="T52" s="31">
        <f t="shared" si="146"/>
        <v>662.2</v>
      </c>
      <c r="U52" s="28">
        <f t="shared" si="147"/>
        <v>425.8</v>
      </c>
      <c r="V52" s="89">
        <f>RCF!C$9</f>
        <v>17.033999999999999</v>
      </c>
      <c r="W52" s="28">
        <f t="shared" si="148"/>
        <v>425.8</v>
      </c>
      <c r="X52" s="89">
        <f t="shared" si="162"/>
        <v>17.033999999999999</v>
      </c>
      <c r="Y52" s="31">
        <f t="shared" si="164"/>
        <v>468.3</v>
      </c>
      <c r="Z52" s="31">
        <f t="shared" si="164"/>
        <v>583.29999999999995</v>
      </c>
      <c r="AA52" s="31">
        <f t="shared" si="164"/>
        <v>689.7</v>
      </c>
      <c r="AB52" s="31">
        <f t="shared" si="164"/>
        <v>625.9</v>
      </c>
      <c r="AC52" s="31">
        <f t="shared" si="164"/>
        <v>923.9</v>
      </c>
      <c r="AD52" s="31">
        <f t="shared" si="164"/>
        <v>1277.4000000000001</v>
      </c>
      <c r="AE52" s="28">
        <f t="shared" si="150"/>
        <v>412</v>
      </c>
      <c r="AF52" s="89">
        <f>RCF!C$13</f>
        <v>16.48</v>
      </c>
      <c r="AG52" s="31">
        <f t="shared" si="151"/>
        <v>679.8</v>
      </c>
      <c r="AH52" s="31">
        <f t="shared" si="151"/>
        <v>865.2</v>
      </c>
      <c r="AI52" s="31">
        <f t="shared" si="151"/>
        <v>1236</v>
      </c>
      <c r="AJ52" s="28">
        <f t="shared" si="152"/>
        <v>430.8</v>
      </c>
      <c r="AK52" s="89">
        <f>RCF!C$25</f>
        <v>17.233333333333334</v>
      </c>
      <c r="AL52" s="28">
        <f t="shared" si="153"/>
        <v>581.70000000000005</v>
      </c>
      <c r="AM52" s="89">
        <f>RCF!C$29</f>
        <v>23.27</v>
      </c>
      <c r="AN52" s="28">
        <f t="shared" si="154"/>
        <v>462.8</v>
      </c>
      <c r="AO52" s="89">
        <f>RCF!C$33</f>
        <v>18.513999999999999</v>
      </c>
      <c r="AP52" s="31">
        <f t="shared" si="155"/>
        <v>694.2</v>
      </c>
      <c r="AQ52" s="28">
        <f t="shared" si="156"/>
        <v>432.6</v>
      </c>
      <c r="AR52" s="89">
        <f>RCF!C$35</f>
        <v>17.306666666666668</v>
      </c>
      <c r="AS52" s="31">
        <f t="shared" si="157"/>
        <v>562.29999999999995</v>
      </c>
      <c r="AT52" s="31">
        <f t="shared" si="157"/>
        <v>627.20000000000005</v>
      </c>
      <c r="AU52" s="28">
        <f t="shared" si="158"/>
        <v>446.5</v>
      </c>
      <c r="AV52" s="89">
        <f>RCF!C$37</f>
        <v>17.86</v>
      </c>
      <c r="AW52" s="91">
        <f t="shared" si="165"/>
        <v>451.7</v>
      </c>
      <c r="AX52" s="89">
        <f>RCF!C$64</f>
        <v>18.07</v>
      </c>
      <c r="AY52" s="28">
        <f t="shared" si="159"/>
        <v>458</v>
      </c>
      <c r="AZ52" s="89">
        <f>RCF!C$39</f>
        <v>18.323333333333334</v>
      </c>
      <c r="BA52" s="28">
        <f t="shared" si="160"/>
        <v>439.4</v>
      </c>
      <c r="BB52" s="89">
        <f>RCF!C$41</f>
        <v>17.579000000000001</v>
      </c>
    </row>
    <row r="53" spans="1:54" ht="25.5" x14ac:dyDescent="0.2">
      <c r="A53" s="47">
        <v>1589</v>
      </c>
      <c r="B53" s="33" t="s">
        <v>165</v>
      </c>
      <c r="C53" s="34">
        <v>34</v>
      </c>
      <c r="D53" s="28">
        <f t="shared" si="140"/>
        <v>2316.8000000000002</v>
      </c>
      <c r="E53" s="89">
        <f>RCF!C$43</f>
        <v>68.141894999999991</v>
      </c>
      <c r="F53" s="28">
        <f t="shared" si="141"/>
        <v>597.6</v>
      </c>
      <c r="G53" s="89">
        <f>RCF!C$5</f>
        <v>17.577000000000002</v>
      </c>
      <c r="H53" s="28">
        <f t="shared" si="142"/>
        <v>597.6</v>
      </c>
      <c r="I53" s="89">
        <f t="shared" si="143"/>
        <v>17.577000000000002</v>
      </c>
      <c r="J53" s="31">
        <f t="shared" si="163"/>
        <v>657.4</v>
      </c>
      <c r="K53" s="31">
        <f t="shared" si="163"/>
        <v>818.7</v>
      </c>
      <c r="L53" s="31">
        <f t="shared" si="163"/>
        <v>878.5</v>
      </c>
      <c r="M53" s="31">
        <f t="shared" si="163"/>
        <v>968.1</v>
      </c>
      <c r="N53" s="31">
        <f t="shared" si="163"/>
        <v>1195.2</v>
      </c>
      <c r="O53" s="31">
        <f t="shared" si="163"/>
        <v>1284.9000000000001</v>
      </c>
      <c r="P53" s="31">
        <f t="shared" si="163"/>
        <v>1792.9</v>
      </c>
      <c r="Q53" s="28">
        <f t="shared" si="145"/>
        <v>600.4</v>
      </c>
      <c r="R53" s="89">
        <f>RCF!C$7</f>
        <v>17.66</v>
      </c>
      <c r="S53" s="31">
        <f t="shared" si="146"/>
        <v>780.5</v>
      </c>
      <c r="T53" s="31">
        <f t="shared" si="146"/>
        <v>900.6</v>
      </c>
      <c r="U53" s="28">
        <f t="shared" si="147"/>
        <v>579.1</v>
      </c>
      <c r="V53" s="89">
        <f>RCF!C$9</f>
        <v>17.033999999999999</v>
      </c>
      <c r="W53" s="28">
        <f t="shared" si="148"/>
        <v>579.1</v>
      </c>
      <c r="X53" s="89">
        <f t="shared" si="162"/>
        <v>17.033999999999999</v>
      </c>
      <c r="Y53" s="31">
        <f t="shared" si="164"/>
        <v>637</v>
      </c>
      <c r="Z53" s="31">
        <f t="shared" si="164"/>
        <v>793.3</v>
      </c>
      <c r="AA53" s="31">
        <f t="shared" si="164"/>
        <v>938.1</v>
      </c>
      <c r="AB53" s="31">
        <f t="shared" si="164"/>
        <v>851.2</v>
      </c>
      <c r="AC53" s="31">
        <f t="shared" si="164"/>
        <v>1256.5999999999999</v>
      </c>
      <c r="AD53" s="31">
        <f t="shared" si="164"/>
        <v>1737.3</v>
      </c>
      <c r="AE53" s="28">
        <f t="shared" si="150"/>
        <v>560.29999999999995</v>
      </c>
      <c r="AF53" s="89">
        <f>RCF!C$13</f>
        <v>16.48</v>
      </c>
      <c r="AG53" s="31">
        <f t="shared" si="151"/>
        <v>924.5</v>
      </c>
      <c r="AH53" s="31">
        <f t="shared" si="151"/>
        <v>1176.5999999999999</v>
      </c>
      <c r="AI53" s="31">
        <f t="shared" si="151"/>
        <v>1680.9</v>
      </c>
      <c r="AJ53" s="28">
        <f t="shared" si="152"/>
        <v>585.9</v>
      </c>
      <c r="AK53" s="89">
        <f>RCF!C$25</f>
        <v>17.233333333333334</v>
      </c>
      <c r="AL53" s="28">
        <f t="shared" si="153"/>
        <v>791.1</v>
      </c>
      <c r="AM53" s="89">
        <f>RCF!C$29</f>
        <v>23.27</v>
      </c>
      <c r="AN53" s="28">
        <f t="shared" si="154"/>
        <v>629.4</v>
      </c>
      <c r="AO53" s="89">
        <f>RCF!C$33</f>
        <v>18.513999999999999</v>
      </c>
      <c r="AP53" s="31">
        <f t="shared" si="155"/>
        <v>944.1</v>
      </c>
      <c r="AQ53" s="28">
        <f t="shared" si="156"/>
        <v>588.4</v>
      </c>
      <c r="AR53" s="89">
        <f>RCF!C$35</f>
        <v>17.306666666666668</v>
      </c>
      <c r="AS53" s="31">
        <f t="shared" si="157"/>
        <v>764.9</v>
      </c>
      <c r="AT53" s="31">
        <f t="shared" si="157"/>
        <v>853.1</v>
      </c>
      <c r="AU53" s="28">
        <f t="shared" si="158"/>
        <v>607.20000000000005</v>
      </c>
      <c r="AV53" s="89">
        <f>RCF!C$37</f>
        <v>17.86</v>
      </c>
      <c r="AW53" s="91">
        <f t="shared" si="165"/>
        <v>614.29999999999995</v>
      </c>
      <c r="AX53" s="89">
        <f>RCF!C$64</f>
        <v>18.07</v>
      </c>
      <c r="AY53" s="28">
        <f t="shared" si="159"/>
        <v>622.9</v>
      </c>
      <c r="AZ53" s="89">
        <f>RCF!C$39</f>
        <v>18.323333333333334</v>
      </c>
      <c r="BA53" s="28">
        <f t="shared" si="160"/>
        <v>597.6</v>
      </c>
      <c r="BB53" s="89">
        <f>RCF!C$41</f>
        <v>17.579000000000001</v>
      </c>
    </row>
    <row r="54" spans="1:54" ht="51" x14ac:dyDescent="0.2">
      <c r="A54" s="47">
        <v>1642</v>
      </c>
      <c r="B54" s="33" t="s">
        <v>41</v>
      </c>
      <c r="C54" s="34">
        <v>150</v>
      </c>
      <c r="D54" s="28">
        <f t="shared" si="140"/>
        <v>10221.299999999999</v>
      </c>
      <c r="E54" s="89">
        <f>RCF!C$43</f>
        <v>68.141894999999991</v>
      </c>
      <c r="F54" s="28">
        <f t="shared" si="141"/>
        <v>2636.5</v>
      </c>
      <c r="G54" s="89">
        <f>RCF!C$5</f>
        <v>17.577000000000002</v>
      </c>
      <c r="H54" s="28">
        <f t="shared" si="142"/>
        <v>2636.5</v>
      </c>
      <c r="I54" s="89">
        <f t="shared" si="143"/>
        <v>17.577000000000002</v>
      </c>
      <c r="J54" s="31">
        <f t="shared" si="163"/>
        <v>2900.2</v>
      </c>
      <c r="K54" s="31">
        <f t="shared" si="163"/>
        <v>3612.1</v>
      </c>
      <c r="L54" s="31">
        <f t="shared" si="163"/>
        <v>3875.7</v>
      </c>
      <c r="M54" s="31">
        <f t="shared" si="163"/>
        <v>4271.2</v>
      </c>
      <c r="N54" s="31">
        <f t="shared" si="163"/>
        <v>5273.1</v>
      </c>
      <c r="O54" s="31">
        <f t="shared" si="163"/>
        <v>5668.6</v>
      </c>
      <c r="P54" s="31">
        <f t="shared" si="163"/>
        <v>7909.7</v>
      </c>
      <c r="Q54" s="28">
        <f t="shared" si="145"/>
        <v>2649</v>
      </c>
      <c r="R54" s="89">
        <f>RCF!C$7</f>
        <v>17.66</v>
      </c>
      <c r="S54" s="31">
        <f t="shared" si="146"/>
        <v>3443.7</v>
      </c>
      <c r="T54" s="31">
        <f t="shared" si="146"/>
        <v>3973.5</v>
      </c>
      <c r="U54" s="28">
        <f t="shared" si="147"/>
        <v>2555.1</v>
      </c>
      <c r="V54" s="89">
        <f>RCF!C$9</f>
        <v>17.033999999999999</v>
      </c>
      <c r="W54" s="28">
        <f t="shared" si="148"/>
        <v>2555.1</v>
      </c>
      <c r="X54" s="89">
        <f t="shared" si="162"/>
        <v>17.033999999999999</v>
      </c>
      <c r="Y54" s="31">
        <f t="shared" si="164"/>
        <v>2810.6</v>
      </c>
      <c r="Z54" s="31">
        <f t="shared" si="164"/>
        <v>3500.4</v>
      </c>
      <c r="AA54" s="31">
        <f t="shared" si="164"/>
        <v>4139.2</v>
      </c>
      <c r="AB54" s="31">
        <f t="shared" si="164"/>
        <v>3755.9</v>
      </c>
      <c r="AC54" s="31">
        <f t="shared" si="164"/>
        <v>5544.5</v>
      </c>
      <c r="AD54" s="31">
        <f t="shared" si="164"/>
        <v>7665.3</v>
      </c>
      <c r="AE54" s="28">
        <f t="shared" si="150"/>
        <v>2472</v>
      </c>
      <c r="AF54" s="89">
        <f>RCF!C$13</f>
        <v>16.48</v>
      </c>
      <c r="AG54" s="31">
        <f t="shared" si="151"/>
        <v>4078.8</v>
      </c>
      <c r="AH54" s="31">
        <f t="shared" si="151"/>
        <v>5191.2</v>
      </c>
      <c r="AI54" s="31">
        <f t="shared" si="151"/>
        <v>7416</v>
      </c>
      <c r="AJ54" s="28">
        <f t="shared" si="152"/>
        <v>2585</v>
      </c>
      <c r="AK54" s="89">
        <f>RCF!C$25</f>
        <v>17.233333333333334</v>
      </c>
      <c r="AL54" s="28">
        <f t="shared" si="153"/>
        <v>3490.5</v>
      </c>
      <c r="AM54" s="89">
        <f>RCF!C$29</f>
        <v>23.27</v>
      </c>
      <c r="AN54" s="28">
        <f t="shared" si="154"/>
        <v>2777.1</v>
      </c>
      <c r="AO54" s="89">
        <f>RCF!C$33</f>
        <v>18.513999999999999</v>
      </c>
      <c r="AP54" s="31">
        <f t="shared" si="155"/>
        <v>4165.6000000000004</v>
      </c>
      <c r="AQ54" s="28">
        <f t="shared" si="156"/>
        <v>2596</v>
      </c>
      <c r="AR54" s="89">
        <f>RCF!C$35</f>
        <v>17.306666666666668</v>
      </c>
      <c r="AS54" s="31">
        <f t="shared" si="157"/>
        <v>3374.8</v>
      </c>
      <c r="AT54" s="31">
        <f t="shared" si="157"/>
        <v>3764.2</v>
      </c>
      <c r="AU54" s="28">
        <f t="shared" si="158"/>
        <v>2679</v>
      </c>
      <c r="AV54" s="89">
        <f>RCF!C$37</f>
        <v>17.86</v>
      </c>
      <c r="AW54" s="91">
        <f t="shared" si="165"/>
        <v>2710.5</v>
      </c>
      <c r="AX54" s="89">
        <f>RCF!C$64</f>
        <v>18.07</v>
      </c>
      <c r="AY54" s="28">
        <f t="shared" si="159"/>
        <v>2748.5</v>
      </c>
      <c r="AZ54" s="89">
        <f>RCF!C$39</f>
        <v>18.323333333333334</v>
      </c>
      <c r="BA54" s="28">
        <f t="shared" si="160"/>
        <v>2636.8</v>
      </c>
      <c r="BB54" s="89">
        <f>RCF!C$41</f>
        <v>17.579000000000001</v>
      </c>
    </row>
    <row r="55" spans="1:54" ht="25.5" x14ac:dyDescent="0.2">
      <c r="A55" s="47">
        <v>1643</v>
      </c>
      <c r="B55" s="33" t="s">
        <v>166</v>
      </c>
      <c r="C55" s="34">
        <v>90</v>
      </c>
      <c r="D55" s="28">
        <f t="shared" si="140"/>
        <v>6132.8</v>
      </c>
      <c r="E55" s="89">
        <f>RCF!C$43</f>
        <v>68.141894999999991</v>
      </c>
      <c r="F55" s="28">
        <f t="shared" si="141"/>
        <v>1581.9</v>
      </c>
      <c r="G55" s="89">
        <f>RCF!C$5</f>
        <v>17.577000000000002</v>
      </c>
      <c r="H55" s="28">
        <f t="shared" si="142"/>
        <v>1581.9</v>
      </c>
      <c r="I55" s="89">
        <f t="shared" si="143"/>
        <v>17.577000000000002</v>
      </c>
      <c r="J55" s="31">
        <f t="shared" si="163"/>
        <v>1740.1</v>
      </c>
      <c r="K55" s="31">
        <f t="shared" si="163"/>
        <v>2167.1999999999998</v>
      </c>
      <c r="L55" s="31">
        <f t="shared" si="163"/>
        <v>2325.4</v>
      </c>
      <c r="M55" s="31">
        <f t="shared" si="163"/>
        <v>2562.6999999999998</v>
      </c>
      <c r="N55" s="31">
        <f t="shared" si="163"/>
        <v>3163.9</v>
      </c>
      <c r="O55" s="31">
        <f t="shared" si="163"/>
        <v>3401.1</v>
      </c>
      <c r="P55" s="31">
        <f t="shared" si="163"/>
        <v>4745.8</v>
      </c>
      <c r="Q55" s="28">
        <f t="shared" si="145"/>
        <v>1589.4</v>
      </c>
      <c r="R55" s="89">
        <f>RCF!C$7</f>
        <v>17.66</v>
      </c>
      <c r="S55" s="31">
        <f t="shared" si="146"/>
        <v>2066.1999999999998</v>
      </c>
      <c r="T55" s="31">
        <f t="shared" si="146"/>
        <v>2384.1</v>
      </c>
      <c r="U55" s="28">
        <f t="shared" si="147"/>
        <v>1533</v>
      </c>
      <c r="V55" s="89">
        <f>RCF!C$9</f>
        <v>17.033999999999999</v>
      </c>
      <c r="W55" s="28">
        <f t="shared" si="148"/>
        <v>1533</v>
      </c>
      <c r="X55" s="89">
        <f t="shared" si="162"/>
        <v>17.033999999999999</v>
      </c>
      <c r="Y55" s="31">
        <f t="shared" si="164"/>
        <v>1686.3</v>
      </c>
      <c r="Z55" s="31">
        <f t="shared" si="164"/>
        <v>2100.1999999999998</v>
      </c>
      <c r="AA55" s="31">
        <f t="shared" si="164"/>
        <v>2483.4</v>
      </c>
      <c r="AB55" s="31">
        <f t="shared" si="164"/>
        <v>2253.5</v>
      </c>
      <c r="AC55" s="31">
        <f t="shared" si="164"/>
        <v>3326.6</v>
      </c>
      <c r="AD55" s="31">
        <f t="shared" si="164"/>
        <v>4599</v>
      </c>
      <c r="AE55" s="28">
        <f t="shared" si="150"/>
        <v>1483.2</v>
      </c>
      <c r="AF55" s="89">
        <f>RCF!C$13</f>
        <v>16.48</v>
      </c>
      <c r="AG55" s="31">
        <f t="shared" si="151"/>
        <v>2447.3000000000002</v>
      </c>
      <c r="AH55" s="31">
        <f t="shared" si="151"/>
        <v>3114.7</v>
      </c>
      <c r="AI55" s="31">
        <f t="shared" si="151"/>
        <v>4449.6000000000004</v>
      </c>
      <c r="AJ55" s="28">
        <f t="shared" si="152"/>
        <v>1551</v>
      </c>
      <c r="AK55" s="89">
        <f>RCF!C$25</f>
        <v>17.233333333333334</v>
      </c>
      <c r="AL55" s="28">
        <f t="shared" si="153"/>
        <v>2094.3000000000002</v>
      </c>
      <c r="AM55" s="89">
        <f>RCF!C$29</f>
        <v>23.27</v>
      </c>
      <c r="AN55" s="28">
        <f t="shared" si="154"/>
        <v>1666.2</v>
      </c>
      <c r="AO55" s="89">
        <f>RCF!C$33</f>
        <v>18.513999999999999</v>
      </c>
      <c r="AP55" s="31">
        <f t="shared" si="155"/>
        <v>2499.3000000000002</v>
      </c>
      <c r="AQ55" s="28">
        <f t="shared" si="156"/>
        <v>1557.6</v>
      </c>
      <c r="AR55" s="89">
        <f>RCF!C$35</f>
        <v>17.306666666666668</v>
      </c>
      <c r="AS55" s="31">
        <f t="shared" si="157"/>
        <v>2024.8</v>
      </c>
      <c r="AT55" s="31">
        <f t="shared" si="157"/>
        <v>2258.5</v>
      </c>
      <c r="AU55" s="28">
        <f t="shared" si="158"/>
        <v>1607.4</v>
      </c>
      <c r="AV55" s="89">
        <f>RCF!C$37</f>
        <v>17.86</v>
      </c>
      <c r="AW55" s="91">
        <f t="shared" si="165"/>
        <v>1626.3</v>
      </c>
      <c r="AX55" s="89">
        <f>RCF!C$64</f>
        <v>18.07</v>
      </c>
      <c r="AY55" s="28">
        <f t="shared" si="159"/>
        <v>1649.1</v>
      </c>
      <c r="AZ55" s="89">
        <f>RCF!C$39</f>
        <v>18.323333333333334</v>
      </c>
      <c r="BA55" s="28">
        <f t="shared" si="160"/>
        <v>1582.1</v>
      </c>
      <c r="BB55" s="89">
        <f>RCF!C$41</f>
        <v>17.579000000000001</v>
      </c>
    </row>
    <row r="56" spans="1:54" x14ac:dyDescent="0.2">
      <c r="A56" s="47">
        <v>1653</v>
      </c>
      <c r="B56" s="36" t="s">
        <v>34</v>
      </c>
      <c r="C56" s="48">
        <v>90</v>
      </c>
      <c r="D56" s="28">
        <f t="shared" si="140"/>
        <v>6132.8</v>
      </c>
      <c r="E56" s="89">
        <f>RCF!C$43</f>
        <v>68.141894999999991</v>
      </c>
      <c r="F56" s="28">
        <f t="shared" si="141"/>
        <v>1581.9</v>
      </c>
      <c r="G56" s="89">
        <f>RCF!C$5</f>
        <v>17.577000000000002</v>
      </c>
      <c r="H56" s="28">
        <f t="shared" si="142"/>
        <v>1581.9</v>
      </c>
      <c r="I56" s="89">
        <f t="shared" si="143"/>
        <v>17.577000000000002</v>
      </c>
      <c r="J56" s="31">
        <f t="shared" si="163"/>
        <v>1740.1</v>
      </c>
      <c r="K56" s="31">
        <f t="shared" si="163"/>
        <v>2167.1999999999998</v>
      </c>
      <c r="L56" s="31">
        <f t="shared" si="163"/>
        <v>2325.4</v>
      </c>
      <c r="M56" s="31">
        <f t="shared" si="163"/>
        <v>2562.6999999999998</v>
      </c>
      <c r="N56" s="31">
        <f t="shared" si="163"/>
        <v>3163.9</v>
      </c>
      <c r="O56" s="31">
        <f t="shared" si="163"/>
        <v>3401.1</v>
      </c>
      <c r="P56" s="31">
        <f t="shared" si="163"/>
        <v>4745.8</v>
      </c>
      <c r="Q56" s="28">
        <f t="shared" si="145"/>
        <v>1589.4</v>
      </c>
      <c r="R56" s="89">
        <f>RCF!C$7</f>
        <v>17.66</v>
      </c>
      <c r="S56" s="31">
        <f t="shared" si="146"/>
        <v>2066.1999999999998</v>
      </c>
      <c r="T56" s="31">
        <f t="shared" si="146"/>
        <v>2384.1</v>
      </c>
      <c r="U56" s="28">
        <f t="shared" si="147"/>
        <v>1533</v>
      </c>
      <c r="V56" s="89">
        <f>RCF!C$9</f>
        <v>17.033999999999999</v>
      </c>
      <c r="W56" s="28">
        <f t="shared" si="148"/>
        <v>1533</v>
      </c>
      <c r="X56" s="89">
        <f t="shared" si="162"/>
        <v>17.033999999999999</v>
      </c>
      <c r="Y56" s="31">
        <f t="shared" si="164"/>
        <v>1686.3</v>
      </c>
      <c r="Z56" s="31">
        <f t="shared" si="164"/>
        <v>2100.1999999999998</v>
      </c>
      <c r="AA56" s="31">
        <f t="shared" si="164"/>
        <v>2483.4</v>
      </c>
      <c r="AB56" s="31">
        <f t="shared" si="164"/>
        <v>2253.5</v>
      </c>
      <c r="AC56" s="31">
        <f t="shared" si="164"/>
        <v>3326.6</v>
      </c>
      <c r="AD56" s="31">
        <f t="shared" si="164"/>
        <v>4599</v>
      </c>
      <c r="AE56" s="28">
        <f t="shared" si="150"/>
        <v>1483.2</v>
      </c>
      <c r="AF56" s="89">
        <f>RCF!C$13</f>
        <v>16.48</v>
      </c>
      <c r="AG56" s="31">
        <f t="shared" si="151"/>
        <v>2447.3000000000002</v>
      </c>
      <c r="AH56" s="31">
        <f t="shared" si="151"/>
        <v>3114.7</v>
      </c>
      <c r="AI56" s="31">
        <f t="shared" si="151"/>
        <v>4449.6000000000004</v>
      </c>
      <c r="AJ56" s="28">
        <f t="shared" si="152"/>
        <v>1551</v>
      </c>
      <c r="AK56" s="89">
        <f>RCF!C$25</f>
        <v>17.233333333333334</v>
      </c>
      <c r="AL56" s="28">
        <f t="shared" si="153"/>
        <v>2094.3000000000002</v>
      </c>
      <c r="AM56" s="89">
        <f>RCF!C$29</f>
        <v>23.27</v>
      </c>
      <c r="AN56" s="28">
        <f t="shared" si="154"/>
        <v>1666.2</v>
      </c>
      <c r="AO56" s="89">
        <f>RCF!C$33</f>
        <v>18.513999999999999</v>
      </c>
      <c r="AP56" s="31">
        <f t="shared" si="155"/>
        <v>2499.3000000000002</v>
      </c>
      <c r="AQ56" s="28">
        <f t="shared" si="156"/>
        <v>1557.6</v>
      </c>
      <c r="AR56" s="89">
        <f>RCF!C$35</f>
        <v>17.306666666666668</v>
      </c>
      <c r="AS56" s="31">
        <f t="shared" si="157"/>
        <v>2024.8</v>
      </c>
      <c r="AT56" s="31">
        <f t="shared" si="157"/>
        <v>2258.5</v>
      </c>
      <c r="AU56" s="28">
        <f t="shared" si="158"/>
        <v>1607.4</v>
      </c>
      <c r="AV56" s="89">
        <f>RCF!C$37</f>
        <v>17.86</v>
      </c>
      <c r="AW56" s="91">
        <f t="shared" si="165"/>
        <v>1626.3</v>
      </c>
      <c r="AX56" s="89">
        <f>RCF!C$64</f>
        <v>18.07</v>
      </c>
      <c r="AY56" s="28">
        <f t="shared" si="159"/>
        <v>1649.1</v>
      </c>
      <c r="AZ56" s="89">
        <f>RCF!C$39</f>
        <v>18.323333333333334</v>
      </c>
      <c r="BA56" s="28">
        <f t="shared" si="160"/>
        <v>1582.1</v>
      </c>
      <c r="BB56" s="89">
        <f>RCF!C$41</f>
        <v>17.579000000000001</v>
      </c>
    </row>
    <row r="57" spans="1:54" x14ac:dyDescent="0.2">
      <c r="A57" s="47">
        <v>1654</v>
      </c>
      <c r="B57" s="36" t="s">
        <v>42</v>
      </c>
      <c r="C57" s="48">
        <v>30</v>
      </c>
      <c r="D57" s="28">
        <f t="shared" si="140"/>
        <v>2044.3</v>
      </c>
      <c r="E57" s="89">
        <f>RCF!C$43</f>
        <v>68.141894999999991</v>
      </c>
      <c r="F57" s="28">
        <f t="shared" si="141"/>
        <v>527.29999999999995</v>
      </c>
      <c r="G57" s="89">
        <f>RCF!C$5</f>
        <v>17.577000000000002</v>
      </c>
      <c r="H57" s="28">
        <f t="shared" si="142"/>
        <v>527.29999999999995</v>
      </c>
      <c r="I57" s="89">
        <f t="shared" si="143"/>
        <v>17.577000000000002</v>
      </c>
      <c r="J57" s="31">
        <f t="shared" ref="J57:P69" si="166">ROUND($C57*$I57*J$6,1)</f>
        <v>580</v>
      </c>
      <c r="K57" s="31">
        <f t="shared" si="166"/>
        <v>722.4</v>
      </c>
      <c r="L57" s="31">
        <f t="shared" si="166"/>
        <v>775.1</v>
      </c>
      <c r="M57" s="31">
        <f t="shared" si="166"/>
        <v>854.2</v>
      </c>
      <c r="N57" s="31">
        <f t="shared" si="166"/>
        <v>1054.5999999999999</v>
      </c>
      <c r="O57" s="31">
        <f t="shared" si="166"/>
        <v>1133.7</v>
      </c>
      <c r="P57" s="31">
        <f t="shared" si="166"/>
        <v>1581.9</v>
      </c>
      <c r="Q57" s="28">
        <f t="shared" si="145"/>
        <v>529.79999999999995</v>
      </c>
      <c r="R57" s="89">
        <f>RCF!C$7</f>
        <v>17.66</v>
      </c>
      <c r="S57" s="31">
        <f t="shared" ref="S57:T69" si="167">ROUNDDOWN($Q57*S$6,1)</f>
        <v>688.7</v>
      </c>
      <c r="T57" s="31">
        <f t="shared" si="167"/>
        <v>794.7</v>
      </c>
      <c r="U57" s="28">
        <f t="shared" si="147"/>
        <v>511</v>
      </c>
      <c r="V57" s="89">
        <f>RCF!C$9</f>
        <v>17.033999999999999</v>
      </c>
      <c r="W57" s="28">
        <f t="shared" si="148"/>
        <v>511</v>
      </c>
      <c r="X57" s="89">
        <f t="shared" si="162"/>
        <v>17.033999999999999</v>
      </c>
      <c r="Y57" s="31">
        <f t="shared" ref="Y57:AD69" si="168">ROUNDDOWN($W57*Y$6,1)</f>
        <v>562.1</v>
      </c>
      <c r="Z57" s="31">
        <f t="shared" si="168"/>
        <v>700</v>
      </c>
      <c r="AA57" s="31">
        <f t="shared" si="168"/>
        <v>827.8</v>
      </c>
      <c r="AB57" s="31">
        <f t="shared" si="168"/>
        <v>751.1</v>
      </c>
      <c r="AC57" s="31">
        <f t="shared" si="168"/>
        <v>1108.8</v>
      </c>
      <c r="AD57" s="31">
        <f t="shared" si="168"/>
        <v>1533</v>
      </c>
      <c r="AE57" s="28">
        <f t="shared" si="150"/>
        <v>494.4</v>
      </c>
      <c r="AF57" s="89">
        <f>RCF!C$13</f>
        <v>16.48</v>
      </c>
      <c r="AG57" s="31">
        <f t="shared" ref="AG57:AI69" si="169">ROUND($AE57*AG$6,1)</f>
        <v>815.8</v>
      </c>
      <c r="AH57" s="31">
        <f t="shared" si="169"/>
        <v>1038.2</v>
      </c>
      <c r="AI57" s="31">
        <f t="shared" si="169"/>
        <v>1483.2</v>
      </c>
      <c r="AJ57" s="28">
        <f t="shared" si="152"/>
        <v>517</v>
      </c>
      <c r="AK57" s="89">
        <f>RCF!C$25</f>
        <v>17.233333333333334</v>
      </c>
      <c r="AL57" s="28">
        <f t="shared" si="153"/>
        <v>698.1</v>
      </c>
      <c r="AM57" s="89">
        <f>RCF!C$29</f>
        <v>23.27</v>
      </c>
      <c r="AN57" s="28">
        <f t="shared" si="154"/>
        <v>555.4</v>
      </c>
      <c r="AO57" s="89">
        <f>RCF!C$33</f>
        <v>18.513999999999999</v>
      </c>
      <c r="AP57" s="31">
        <f t="shared" si="155"/>
        <v>833.1</v>
      </c>
      <c r="AQ57" s="28">
        <f t="shared" si="156"/>
        <v>519.20000000000005</v>
      </c>
      <c r="AR57" s="89">
        <f>RCF!C$35</f>
        <v>17.306666666666668</v>
      </c>
      <c r="AS57" s="31">
        <f t="shared" ref="AS57:AT69" si="170">ROUNDDOWN($AQ57*AS$6,1)</f>
        <v>674.9</v>
      </c>
      <c r="AT57" s="31">
        <f t="shared" si="170"/>
        <v>752.8</v>
      </c>
      <c r="AU57" s="28">
        <f t="shared" si="158"/>
        <v>535.79999999999995</v>
      </c>
      <c r="AV57" s="89">
        <f>RCF!C$37</f>
        <v>17.86</v>
      </c>
      <c r="AW57" s="91">
        <f t="shared" si="165"/>
        <v>542.1</v>
      </c>
      <c r="AX57" s="89">
        <f>RCF!C$64</f>
        <v>18.07</v>
      </c>
      <c r="AY57" s="28">
        <f t="shared" si="159"/>
        <v>549.70000000000005</v>
      </c>
      <c r="AZ57" s="89">
        <f>RCF!C$39</f>
        <v>18.323333333333334</v>
      </c>
      <c r="BA57" s="28">
        <f t="shared" si="160"/>
        <v>527.29999999999995</v>
      </c>
      <c r="BB57" s="89">
        <f>RCF!C$41</f>
        <v>17.579000000000001</v>
      </c>
    </row>
    <row r="58" spans="1:54" x14ac:dyDescent="0.2">
      <c r="A58" s="47">
        <v>1656</v>
      </c>
      <c r="B58" s="33" t="s">
        <v>167</v>
      </c>
      <c r="C58" s="34">
        <v>60</v>
      </c>
      <c r="D58" s="28">
        <f t="shared" si="140"/>
        <v>4088.5</v>
      </c>
      <c r="E58" s="89">
        <f>RCF!C$43</f>
        <v>68.141894999999991</v>
      </c>
      <c r="F58" s="28">
        <f t="shared" si="141"/>
        <v>1054.5999999999999</v>
      </c>
      <c r="G58" s="89">
        <f>RCF!C$5</f>
        <v>17.577000000000002</v>
      </c>
      <c r="H58" s="28">
        <f t="shared" si="142"/>
        <v>1054.5999999999999</v>
      </c>
      <c r="I58" s="89">
        <f t="shared" si="143"/>
        <v>17.577000000000002</v>
      </c>
      <c r="J58" s="31">
        <f t="shared" si="166"/>
        <v>1160.0999999999999</v>
      </c>
      <c r="K58" s="31">
        <f t="shared" si="166"/>
        <v>1444.8</v>
      </c>
      <c r="L58" s="31">
        <f t="shared" si="166"/>
        <v>1550.3</v>
      </c>
      <c r="M58" s="31">
        <f t="shared" si="166"/>
        <v>1708.5</v>
      </c>
      <c r="N58" s="31">
        <f t="shared" si="166"/>
        <v>2109.1999999999998</v>
      </c>
      <c r="O58" s="31">
        <f t="shared" si="166"/>
        <v>2267.4</v>
      </c>
      <c r="P58" s="31">
        <f t="shared" si="166"/>
        <v>3163.9</v>
      </c>
      <c r="Q58" s="28">
        <f t="shared" si="145"/>
        <v>1059.5999999999999</v>
      </c>
      <c r="R58" s="89">
        <f>RCF!C$7</f>
        <v>17.66</v>
      </c>
      <c r="S58" s="31">
        <f t="shared" si="167"/>
        <v>1377.4</v>
      </c>
      <c r="T58" s="31">
        <f t="shared" si="167"/>
        <v>1589.4</v>
      </c>
      <c r="U58" s="28">
        <f t="shared" si="147"/>
        <v>1022</v>
      </c>
      <c r="V58" s="89">
        <f>RCF!C$9</f>
        <v>17.033999999999999</v>
      </c>
      <c r="W58" s="28">
        <f t="shared" si="148"/>
        <v>1022</v>
      </c>
      <c r="X58" s="89">
        <f t="shared" si="162"/>
        <v>17.033999999999999</v>
      </c>
      <c r="Y58" s="31">
        <f t="shared" si="168"/>
        <v>1124.2</v>
      </c>
      <c r="Z58" s="31">
        <f t="shared" si="168"/>
        <v>1400.1</v>
      </c>
      <c r="AA58" s="31">
        <f t="shared" si="168"/>
        <v>1655.6</v>
      </c>
      <c r="AB58" s="31">
        <f t="shared" si="168"/>
        <v>1502.3</v>
      </c>
      <c r="AC58" s="31">
        <f t="shared" si="168"/>
        <v>2217.6999999999998</v>
      </c>
      <c r="AD58" s="31">
        <f t="shared" si="168"/>
        <v>3066</v>
      </c>
      <c r="AE58" s="28">
        <f t="shared" si="150"/>
        <v>988.8</v>
      </c>
      <c r="AF58" s="89">
        <f>RCF!C$13</f>
        <v>16.48</v>
      </c>
      <c r="AG58" s="31">
        <f t="shared" si="169"/>
        <v>1631.5</v>
      </c>
      <c r="AH58" s="31">
        <f t="shared" si="169"/>
        <v>2076.5</v>
      </c>
      <c r="AI58" s="31">
        <f t="shared" si="169"/>
        <v>2966.4</v>
      </c>
      <c r="AJ58" s="28">
        <f t="shared" si="152"/>
        <v>1034</v>
      </c>
      <c r="AK58" s="89">
        <f>RCF!C$25</f>
        <v>17.233333333333334</v>
      </c>
      <c r="AL58" s="28">
        <f t="shared" si="153"/>
        <v>1396.2</v>
      </c>
      <c r="AM58" s="89">
        <f>RCF!C$29</f>
        <v>23.27</v>
      </c>
      <c r="AN58" s="28">
        <f t="shared" si="154"/>
        <v>1110.8</v>
      </c>
      <c r="AO58" s="89">
        <f>RCF!C$33</f>
        <v>18.513999999999999</v>
      </c>
      <c r="AP58" s="31">
        <f t="shared" si="155"/>
        <v>1666.2</v>
      </c>
      <c r="AQ58" s="28">
        <f t="shared" si="156"/>
        <v>1038.4000000000001</v>
      </c>
      <c r="AR58" s="89">
        <f>RCF!C$35</f>
        <v>17.306666666666668</v>
      </c>
      <c r="AS58" s="31">
        <f t="shared" si="170"/>
        <v>1349.9</v>
      </c>
      <c r="AT58" s="31">
        <f t="shared" si="170"/>
        <v>1505.6</v>
      </c>
      <c r="AU58" s="28">
        <f t="shared" si="158"/>
        <v>1071.5999999999999</v>
      </c>
      <c r="AV58" s="89">
        <f>RCF!C$37</f>
        <v>17.86</v>
      </c>
      <c r="AW58" s="91">
        <f t="shared" si="165"/>
        <v>1084.2</v>
      </c>
      <c r="AX58" s="89">
        <f>RCF!C$64</f>
        <v>18.07</v>
      </c>
      <c r="AY58" s="28">
        <f t="shared" si="159"/>
        <v>1099.4000000000001</v>
      </c>
      <c r="AZ58" s="89">
        <f>RCF!C$39</f>
        <v>18.323333333333334</v>
      </c>
      <c r="BA58" s="28">
        <f t="shared" si="160"/>
        <v>1054.7</v>
      </c>
      <c r="BB58" s="89">
        <f>RCF!C$41</f>
        <v>17.579000000000001</v>
      </c>
    </row>
    <row r="59" spans="1:54" x14ac:dyDescent="0.2">
      <c r="A59" s="47">
        <v>1676</v>
      </c>
      <c r="B59" s="33" t="s">
        <v>43</v>
      </c>
      <c r="C59" s="34">
        <v>48.75</v>
      </c>
      <c r="D59" s="28">
        <f t="shared" si="140"/>
        <v>3321.9</v>
      </c>
      <c r="E59" s="89">
        <f>RCF!C$43</f>
        <v>68.141894999999991</v>
      </c>
      <c r="F59" s="28">
        <f t="shared" si="141"/>
        <v>856.8</v>
      </c>
      <c r="G59" s="89">
        <f>RCF!C$5</f>
        <v>17.577000000000002</v>
      </c>
      <c r="H59" s="28">
        <f t="shared" si="142"/>
        <v>856.8</v>
      </c>
      <c r="I59" s="89">
        <f t="shared" si="143"/>
        <v>17.577000000000002</v>
      </c>
      <c r="J59" s="31">
        <f t="shared" si="166"/>
        <v>942.6</v>
      </c>
      <c r="K59" s="31">
        <f t="shared" si="166"/>
        <v>1173.9000000000001</v>
      </c>
      <c r="L59" s="31">
        <f t="shared" si="166"/>
        <v>1259.5999999999999</v>
      </c>
      <c r="M59" s="31">
        <f t="shared" si="166"/>
        <v>1388.1</v>
      </c>
      <c r="N59" s="31">
        <f t="shared" si="166"/>
        <v>1713.8</v>
      </c>
      <c r="O59" s="31">
        <f t="shared" si="166"/>
        <v>1842.3</v>
      </c>
      <c r="P59" s="31">
        <f t="shared" si="166"/>
        <v>2570.6</v>
      </c>
      <c r="Q59" s="28">
        <f t="shared" si="145"/>
        <v>860.9</v>
      </c>
      <c r="R59" s="89">
        <f>RCF!C$7</f>
        <v>17.66</v>
      </c>
      <c r="S59" s="31">
        <f t="shared" si="167"/>
        <v>1119.0999999999999</v>
      </c>
      <c r="T59" s="31">
        <f t="shared" si="167"/>
        <v>1291.3</v>
      </c>
      <c r="U59" s="28">
        <f t="shared" si="147"/>
        <v>830.4</v>
      </c>
      <c r="V59" s="89">
        <f>RCF!C$9</f>
        <v>17.033999999999999</v>
      </c>
      <c r="W59" s="28">
        <f t="shared" si="148"/>
        <v>830.4</v>
      </c>
      <c r="X59" s="89">
        <f t="shared" si="162"/>
        <v>17.033999999999999</v>
      </c>
      <c r="Y59" s="31">
        <f t="shared" si="168"/>
        <v>913.4</v>
      </c>
      <c r="Z59" s="31">
        <f t="shared" si="168"/>
        <v>1137.5999999999999</v>
      </c>
      <c r="AA59" s="31">
        <f t="shared" si="168"/>
        <v>1345.2</v>
      </c>
      <c r="AB59" s="31">
        <f t="shared" si="168"/>
        <v>1220.5999999999999</v>
      </c>
      <c r="AC59" s="31">
        <f t="shared" si="168"/>
        <v>1801.9</v>
      </c>
      <c r="AD59" s="31">
        <f t="shared" si="168"/>
        <v>2491.1999999999998</v>
      </c>
      <c r="AE59" s="28">
        <f t="shared" si="150"/>
        <v>803.4</v>
      </c>
      <c r="AF59" s="89">
        <f>RCF!C$13</f>
        <v>16.48</v>
      </c>
      <c r="AG59" s="31">
        <f t="shared" si="169"/>
        <v>1325.6</v>
      </c>
      <c r="AH59" s="31">
        <f t="shared" si="169"/>
        <v>1687.1</v>
      </c>
      <c r="AI59" s="31">
        <f t="shared" si="169"/>
        <v>2410.1999999999998</v>
      </c>
      <c r="AJ59" s="28">
        <f t="shared" si="152"/>
        <v>840.1</v>
      </c>
      <c r="AK59" s="89">
        <f>RCF!C$25</f>
        <v>17.233333333333334</v>
      </c>
      <c r="AL59" s="28">
        <f t="shared" si="153"/>
        <v>1134.4000000000001</v>
      </c>
      <c r="AM59" s="89">
        <f>RCF!C$29</f>
        <v>23.27</v>
      </c>
      <c r="AN59" s="28">
        <f t="shared" si="154"/>
        <v>902.5</v>
      </c>
      <c r="AO59" s="89">
        <f>RCF!C$33</f>
        <v>18.513999999999999</v>
      </c>
      <c r="AP59" s="31">
        <f t="shared" si="155"/>
        <v>1353.7</v>
      </c>
      <c r="AQ59" s="28">
        <f t="shared" si="156"/>
        <v>843.7</v>
      </c>
      <c r="AR59" s="89">
        <f>RCF!C$35</f>
        <v>17.306666666666668</v>
      </c>
      <c r="AS59" s="31">
        <f t="shared" si="170"/>
        <v>1096.8</v>
      </c>
      <c r="AT59" s="31">
        <f t="shared" si="170"/>
        <v>1223.3</v>
      </c>
      <c r="AU59" s="28">
        <f t="shared" si="158"/>
        <v>870.6</v>
      </c>
      <c r="AV59" s="89">
        <f>RCF!C$37</f>
        <v>17.86</v>
      </c>
      <c r="AW59" s="91">
        <f t="shared" si="165"/>
        <v>880.9</v>
      </c>
      <c r="AX59" s="89">
        <f>RCF!C$64</f>
        <v>18.07</v>
      </c>
      <c r="AY59" s="28">
        <f t="shared" si="159"/>
        <v>893.2</v>
      </c>
      <c r="AZ59" s="89">
        <f>RCF!C$39</f>
        <v>18.323333333333334</v>
      </c>
      <c r="BA59" s="28">
        <f t="shared" si="160"/>
        <v>856.9</v>
      </c>
      <c r="BB59" s="89">
        <f>RCF!C$41</f>
        <v>17.579000000000001</v>
      </c>
    </row>
    <row r="60" spans="1:54" x14ac:dyDescent="0.2">
      <c r="A60" s="47">
        <v>1774</v>
      </c>
      <c r="B60" s="33" t="s">
        <v>168</v>
      </c>
      <c r="C60" s="34">
        <v>125</v>
      </c>
      <c r="D60" s="28">
        <f t="shared" si="140"/>
        <v>8517.7000000000007</v>
      </c>
      <c r="E60" s="89">
        <f>RCF!C$43</f>
        <v>68.141894999999991</v>
      </c>
      <c r="F60" s="28">
        <f t="shared" si="141"/>
        <v>2197.1</v>
      </c>
      <c r="G60" s="89">
        <f>RCF!C$5</f>
        <v>17.577000000000002</v>
      </c>
      <c r="H60" s="28">
        <f t="shared" si="142"/>
        <v>2197.1</v>
      </c>
      <c r="I60" s="89">
        <f t="shared" si="143"/>
        <v>17.577000000000002</v>
      </c>
      <c r="J60" s="31">
        <f t="shared" si="166"/>
        <v>2416.8000000000002</v>
      </c>
      <c r="K60" s="31">
        <f t="shared" si="166"/>
        <v>3010.1</v>
      </c>
      <c r="L60" s="31">
        <f t="shared" si="166"/>
        <v>3229.8</v>
      </c>
      <c r="M60" s="31">
        <f t="shared" si="166"/>
        <v>3559.3</v>
      </c>
      <c r="N60" s="31">
        <f t="shared" si="166"/>
        <v>4394.3</v>
      </c>
      <c r="O60" s="31">
        <f t="shared" si="166"/>
        <v>4723.8</v>
      </c>
      <c r="P60" s="31">
        <f t="shared" si="166"/>
        <v>6591.4</v>
      </c>
      <c r="Q60" s="28">
        <f t="shared" si="145"/>
        <v>2207.5</v>
      </c>
      <c r="R60" s="89">
        <f>RCF!C$7</f>
        <v>17.66</v>
      </c>
      <c r="S60" s="31">
        <f t="shared" si="167"/>
        <v>2869.7</v>
      </c>
      <c r="T60" s="31">
        <f t="shared" si="167"/>
        <v>3311.2</v>
      </c>
      <c r="U60" s="28">
        <f t="shared" si="147"/>
        <v>2129.1999999999998</v>
      </c>
      <c r="V60" s="89">
        <f>RCF!C$9</f>
        <v>17.033999999999999</v>
      </c>
      <c r="W60" s="28">
        <f t="shared" si="148"/>
        <v>2129.1999999999998</v>
      </c>
      <c r="X60" s="89">
        <f t="shared" si="162"/>
        <v>17.033999999999999</v>
      </c>
      <c r="Y60" s="31">
        <f t="shared" si="168"/>
        <v>2342.1</v>
      </c>
      <c r="Z60" s="31">
        <f t="shared" si="168"/>
        <v>2917</v>
      </c>
      <c r="AA60" s="31">
        <f t="shared" si="168"/>
        <v>3449.3</v>
      </c>
      <c r="AB60" s="31">
        <f t="shared" si="168"/>
        <v>3129.9</v>
      </c>
      <c r="AC60" s="31">
        <f t="shared" si="168"/>
        <v>4620.3</v>
      </c>
      <c r="AD60" s="31">
        <f t="shared" si="168"/>
        <v>6387.6</v>
      </c>
      <c r="AE60" s="28">
        <f t="shared" si="150"/>
        <v>2060</v>
      </c>
      <c r="AF60" s="89">
        <f>RCF!C$13</f>
        <v>16.48</v>
      </c>
      <c r="AG60" s="31">
        <f t="shared" si="169"/>
        <v>3399</v>
      </c>
      <c r="AH60" s="31">
        <f t="shared" si="169"/>
        <v>4326</v>
      </c>
      <c r="AI60" s="31">
        <f t="shared" si="169"/>
        <v>6180</v>
      </c>
      <c r="AJ60" s="28">
        <f t="shared" si="152"/>
        <v>2154.1</v>
      </c>
      <c r="AK60" s="89">
        <f>RCF!C$25</f>
        <v>17.233333333333334</v>
      </c>
      <c r="AL60" s="28">
        <f t="shared" si="153"/>
        <v>2908.7</v>
      </c>
      <c r="AM60" s="89">
        <f>RCF!C$29</f>
        <v>23.27</v>
      </c>
      <c r="AN60" s="28">
        <f t="shared" si="154"/>
        <v>2314.1999999999998</v>
      </c>
      <c r="AO60" s="89">
        <f>RCF!C$33</f>
        <v>18.513999999999999</v>
      </c>
      <c r="AP60" s="31">
        <f t="shared" si="155"/>
        <v>3471.3</v>
      </c>
      <c r="AQ60" s="28">
        <f t="shared" si="156"/>
        <v>2163.3000000000002</v>
      </c>
      <c r="AR60" s="89">
        <f>RCF!C$35</f>
        <v>17.306666666666668</v>
      </c>
      <c r="AS60" s="31">
        <f t="shared" si="170"/>
        <v>2812.2</v>
      </c>
      <c r="AT60" s="31">
        <f t="shared" si="170"/>
        <v>3136.7</v>
      </c>
      <c r="AU60" s="28">
        <f t="shared" si="158"/>
        <v>2232.5</v>
      </c>
      <c r="AV60" s="89">
        <f>RCF!C$37</f>
        <v>17.86</v>
      </c>
      <c r="AW60" s="91">
        <f t="shared" si="165"/>
        <v>2258.6999999999998</v>
      </c>
      <c r="AX60" s="89">
        <f>RCF!C$64</f>
        <v>18.07</v>
      </c>
      <c r="AY60" s="28">
        <f t="shared" si="159"/>
        <v>2290.4</v>
      </c>
      <c r="AZ60" s="89">
        <f>RCF!C$39</f>
        <v>18.323333333333334</v>
      </c>
      <c r="BA60" s="28">
        <f t="shared" si="160"/>
        <v>2197.3000000000002</v>
      </c>
      <c r="BB60" s="89">
        <f>RCF!C$41</f>
        <v>17.579000000000001</v>
      </c>
    </row>
    <row r="61" spans="1:54" ht="25.5" x14ac:dyDescent="0.2">
      <c r="A61" s="47">
        <v>1778</v>
      </c>
      <c r="B61" s="33" t="s">
        <v>35</v>
      </c>
      <c r="C61" s="34">
        <v>105.9</v>
      </c>
      <c r="D61" s="28">
        <f t="shared" si="140"/>
        <v>7216.2</v>
      </c>
      <c r="E61" s="89">
        <f>RCF!C$43</f>
        <v>68.141894999999991</v>
      </c>
      <c r="F61" s="28">
        <f t="shared" si="141"/>
        <v>1861.4</v>
      </c>
      <c r="G61" s="89">
        <f>RCF!C$5</f>
        <v>17.577000000000002</v>
      </c>
      <c r="H61" s="28">
        <f t="shared" si="142"/>
        <v>1861.4</v>
      </c>
      <c r="I61" s="89">
        <f t="shared" si="143"/>
        <v>17.577000000000002</v>
      </c>
      <c r="J61" s="31">
        <f t="shared" si="166"/>
        <v>2047.5</v>
      </c>
      <c r="K61" s="31">
        <f t="shared" si="166"/>
        <v>2550.1</v>
      </c>
      <c r="L61" s="31">
        <f t="shared" si="166"/>
        <v>2736.3</v>
      </c>
      <c r="M61" s="31">
        <f t="shared" si="166"/>
        <v>3015.5</v>
      </c>
      <c r="N61" s="31">
        <f t="shared" si="166"/>
        <v>3722.8</v>
      </c>
      <c r="O61" s="31">
        <f t="shared" si="166"/>
        <v>4002</v>
      </c>
      <c r="P61" s="31">
        <f t="shared" si="166"/>
        <v>5584.2</v>
      </c>
      <c r="Q61" s="28">
        <f t="shared" si="145"/>
        <v>1870.1</v>
      </c>
      <c r="R61" s="89">
        <f>RCF!C$7</f>
        <v>17.66</v>
      </c>
      <c r="S61" s="31">
        <f t="shared" si="167"/>
        <v>2431.1</v>
      </c>
      <c r="T61" s="31">
        <f t="shared" si="167"/>
        <v>2805.1</v>
      </c>
      <c r="U61" s="28">
        <f t="shared" si="147"/>
        <v>1803.9</v>
      </c>
      <c r="V61" s="89">
        <f>RCF!C$9</f>
        <v>17.033999999999999</v>
      </c>
      <c r="W61" s="28">
        <f t="shared" si="148"/>
        <v>1803.9</v>
      </c>
      <c r="X61" s="89">
        <f t="shared" si="162"/>
        <v>17.033999999999999</v>
      </c>
      <c r="Y61" s="31">
        <f t="shared" si="168"/>
        <v>1984.2</v>
      </c>
      <c r="Z61" s="31">
        <f t="shared" si="168"/>
        <v>2471.3000000000002</v>
      </c>
      <c r="AA61" s="31">
        <f t="shared" si="168"/>
        <v>2922.3</v>
      </c>
      <c r="AB61" s="31">
        <f t="shared" si="168"/>
        <v>2651.7</v>
      </c>
      <c r="AC61" s="31">
        <f t="shared" si="168"/>
        <v>3914.4</v>
      </c>
      <c r="AD61" s="31">
        <f t="shared" si="168"/>
        <v>5411.7</v>
      </c>
      <c r="AE61" s="28">
        <f t="shared" si="150"/>
        <v>1745.2</v>
      </c>
      <c r="AF61" s="89">
        <f>RCF!C$13</f>
        <v>16.48</v>
      </c>
      <c r="AG61" s="31">
        <f t="shared" si="169"/>
        <v>2879.6</v>
      </c>
      <c r="AH61" s="31">
        <f t="shared" si="169"/>
        <v>3664.9</v>
      </c>
      <c r="AI61" s="31">
        <f t="shared" si="169"/>
        <v>5235.6000000000004</v>
      </c>
      <c r="AJ61" s="28">
        <f t="shared" si="152"/>
        <v>1825</v>
      </c>
      <c r="AK61" s="89">
        <f>RCF!C$25</f>
        <v>17.233333333333334</v>
      </c>
      <c r="AL61" s="28">
        <f t="shared" si="153"/>
        <v>2464.1999999999998</v>
      </c>
      <c r="AM61" s="89">
        <f>RCF!C$29</f>
        <v>23.27</v>
      </c>
      <c r="AN61" s="28">
        <f t="shared" si="154"/>
        <v>1960.6</v>
      </c>
      <c r="AO61" s="89">
        <f>RCF!C$33</f>
        <v>18.513999999999999</v>
      </c>
      <c r="AP61" s="31">
        <f t="shared" si="155"/>
        <v>2940.9</v>
      </c>
      <c r="AQ61" s="28">
        <f t="shared" si="156"/>
        <v>1832.7</v>
      </c>
      <c r="AR61" s="89">
        <f>RCF!C$35</f>
        <v>17.306666666666668</v>
      </c>
      <c r="AS61" s="31">
        <f t="shared" si="170"/>
        <v>2382.5</v>
      </c>
      <c r="AT61" s="31">
        <f t="shared" si="170"/>
        <v>2657.4</v>
      </c>
      <c r="AU61" s="28">
        <f t="shared" si="158"/>
        <v>1891.3</v>
      </c>
      <c r="AV61" s="89">
        <f>RCF!C$37</f>
        <v>17.86</v>
      </c>
      <c r="AW61" s="91">
        <f t="shared" si="165"/>
        <v>1913.6</v>
      </c>
      <c r="AX61" s="89">
        <f>RCF!C$64</f>
        <v>18.07</v>
      </c>
      <c r="AY61" s="28">
        <f t="shared" si="159"/>
        <v>1940.4</v>
      </c>
      <c r="AZ61" s="89">
        <f>RCF!C$39</f>
        <v>18.323333333333334</v>
      </c>
      <c r="BA61" s="28">
        <f t="shared" si="160"/>
        <v>1861.6</v>
      </c>
      <c r="BB61" s="89">
        <f>RCF!C$41</f>
        <v>17.579000000000001</v>
      </c>
    </row>
    <row r="62" spans="1:54" x14ac:dyDescent="0.2">
      <c r="A62" s="47">
        <v>1782</v>
      </c>
      <c r="B62" s="33" t="s">
        <v>169</v>
      </c>
      <c r="C62" s="34">
        <v>30</v>
      </c>
      <c r="D62" s="28">
        <f t="shared" si="140"/>
        <v>2044.3</v>
      </c>
      <c r="E62" s="89">
        <f>RCF!C$43</f>
        <v>68.141894999999991</v>
      </c>
      <c r="F62" s="28">
        <f t="shared" si="141"/>
        <v>527.29999999999995</v>
      </c>
      <c r="G62" s="89">
        <f>RCF!C$5</f>
        <v>17.577000000000002</v>
      </c>
      <c r="H62" s="28">
        <f t="shared" si="142"/>
        <v>527.29999999999995</v>
      </c>
      <c r="I62" s="89">
        <f t="shared" si="143"/>
        <v>17.577000000000002</v>
      </c>
      <c r="J62" s="31">
        <f t="shared" si="166"/>
        <v>580</v>
      </c>
      <c r="K62" s="31">
        <f t="shared" si="166"/>
        <v>722.4</v>
      </c>
      <c r="L62" s="31">
        <f t="shared" si="166"/>
        <v>775.1</v>
      </c>
      <c r="M62" s="31">
        <f t="shared" si="166"/>
        <v>854.2</v>
      </c>
      <c r="N62" s="31">
        <f t="shared" si="166"/>
        <v>1054.5999999999999</v>
      </c>
      <c r="O62" s="31">
        <f t="shared" si="166"/>
        <v>1133.7</v>
      </c>
      <c r="P62" s="31">
        <f t="shared" si="166"/>
        <v>1581.9</v>
      </c>
      <c r="Q62" s="28">
        <f t="shared" si="145"/>
        <v>529.79999999999995</v>
      </c>
      <c r="R62" s="89">
        <f>RCF!C$7</f>
        <v>17.66</v>
      </c>
      <c r="S62" s="31">
        <f t="shared" si="167"/>
        <v>688.7</v>
      </c>
      <c r="T62" s="31">
        <f t="shared" si="167"/>
        <v>794.7</v>
      </c>
      <c r="U62" s="28">
        <f t="shared" si="147"/>
        <v>511</v>
      </c>
      <c r="V62" s="89">
        <f>RCF!C$9</f>
        <v>17.033999999999999</v>
      </c>
      <c r="W62" s="28">
        <f t="shared" si="148"/>
        <v>511</v>
      </c>
      <c r="X62" s="89">
        <f t="shared" si="162"/>
        <v>17.033999999999999</v>
      </c>
      <c r="Y62" s="31">
        <f t="shared" si="168"/>
        <v>562.1</v>
      </c>
      <c r="Z62" s="31">
        <f t="shared" si="168"/>
        <v>700</v>
      </c>
      <c r="AA62" s="31">
        <f t="shared" si="168"/>
        <v>827.8</v>
      </c>
      <c r="AB62" s="31">
        <f t="shared" si="168"/>
        <v>751.1</v>
      </c>
      <c r="AC62" s="31">
        <f t="shared" si="168"/>
        <v>1108.8</v>
      </c>
      <c r="AD62" s="31">
        <f t="shared" si="168"/>
        <v>1533</v>
      </c>
      <c r="AE62" s="28">
        <f t="shared" si="150"/>
        <v>494.4</v>
      </c>
      <c r="AF62" s="89">
        <f>RCF!C$13</f>
        <v>16.48</v>
      </c>
      <c r="AG62" s="31">
        <f t="shared" si="169"/>
        <v>815.8</v>
      </c>
      <c r="AH62" s="31">
        <f t="shared" si="169"/>
        <v>1038.2</v>
      </c>
      <c r="AI62" s="31">
        <f t="shared" si="169"/>
        <v>1483.2</v>
      </c>
      <c r="AJ62" s="28">
        <f t="shared" si="152"/>
        <v>517</v>
      </c>
      <c r="AK62" s="89">
        <f>RCF!C$25</f>
        <v>17.233333333333334</v>
      </c>
      <c r="AL62" s="28">
        <f t="shared" si="153"/>
        <v>698.1</v>
      </c>
      <c r="AM62" s="89">
        <f>RCF!C$29</f>
        <v>23.27</v>
      </c>
      <c r="AN62" s="28">
        <f t="shared" si="154"/>
        <v>555.4</v>
      </c>
      <c r="AO62" s="89">
        <f>RCF!C$33</f>
        <v>18.513999999999999</v>
      </c>
      <c r="AP62" s="31">
        <f t="shared" si="155"/>
        <v>833.1</v>
      </c>
      <c r="AQ62" s="28">
        <f t="shared" si="156"/>
        <v>519.20000000000005</v>
      </c>
      <c r="AR62" s="89">
        <f>RCF!C$35</f>
        <v>17.306666666666668</v>
      </c>
      <c r="AS62" s="31">
        <f t="shared" si="170"/>
        <v>674.9</v>
      </c>
      <c r="AT62" s="31">
        <f t="shared" si="170"/>
        <v>752.8</v>
      </c>
      <c r="AU62" s="28">
        <f t="shared" si="158"/>
        <v>535.79999999999995</v>
      </c>
      <c r="AV62" s="89">
        <f>RCF!C$37</f>
        <v>17.86</v>
      </c>
      <c r="AW62" s="91">
        <f t="shared" si="165"/>
        <v>542.1</v>
      </c>
      <c r="AX62" s="89">
        <f>RCF!C$64</f>
        <v>18.07</v>
      </c>
      <c r="AY62" s="28">
        <f t="shared" si="159"/>
        <v>549.70000000000005</v>
      </c>
      <c r="AZ62" s="89">
        <f>RCF!C$39</f>
        <v>18.323333333333334</v>
      </c>
      <c r="BA62" s="28">
        <f t="shared" si="160"/>
        <v>527.29999999999995</v>
      </c>
      <c r="BB62" s="89">
        <f>RCF!C$41</f>
        <v>17.579000000000001</v>
      </c>
    </row>
    <row r="63" spans="1:54" x14ac:dyDescent="0.2">
      <c r="A63" s="47">
        <v>1788</v>
      </c>
      <c r="B63" s="33" t="s">
        <v>170</v>
      </c>
      <c r="C63" s="34">
        <v>177.7</v>
      </c>
      <c r="D63" s="28">
        <f t="shared" si="140"/>
        <v>12108.8</v>
      </c>
      <c r="E63" s="89">
        <f>RCF!C$43</f>
        <v>68.141894999999991</v>
      </c>
      <c r="F63" s="28">
        <f t="shared" si="141"/>
        <v>3123.4</v>
      </c>
      <c r="G63" s="89">
        <f>RCF!C$5</f>
        <v>17.577000000000002</v>
      </c>
      <c r="H63" s="28">
        <f t="shared" si="142"/>
        <v>3123.4</v>
      </c>
      <c r="I63" s="89">
        <f t="shared" si="143"/>
        <v>17.577000000000002</v>
      </c>
      <c r="J63" s="31">
        <f t="shared" si="166"/>
        <v>3435.8</v>
      </c>
      <c r="K63" s="31">
        <f t="shared" si="166"/>
        <v>4279.1000000000004</v>
      </c>
      <c r="L63" s="31">
        <f t="shared" si="166"/>
        <v>4591.3999999999996</v>
      </c>
      <c r="M63" s="31">
        <f t="shared" si="166"/>
        <v>5060</v>
      </c>
      <c r="N63" s="31">
        <f t="shared" si="166"/>
        <v>6246.9</v>
      </c>
      <c r="O63" s="31">
        <f t="shared" si="166"/>
        <v>6715.4</v>
      </c>
      <c r="P63" s="31">
        <f t="shared" si="166"/>
        <v>9370.2999999999993</v>
      </c>
      <c r="Q63" s="28">
        <f t="shared" si="145"/>
        <v>3138.1</v>
      </c>
      <c r="R63" s="89">
        <f>RCF!C$7</f>
        <v>17.66</v>
      </c>
      <c r="S63" s="31">
        <f t="shared" si="167"/>
        <v>4079.5</v>
      </c>
      <c r="T63" s="31">
        <f t="shared" si="167"/>
        <v>4707.1000000000004</v>
      </c>
      <c r="U63" s="28">
        <f t="shared" si="147"/>
        <v>3026.9</v>
      </c>
      <c r="V63" s="89">
        <f>RCF!C$9</f>
        <v>17.033999999999999</v>
      </c>
      <c r="W63" s="28">
        <f t="shared" si="148"/>
        <v>3026.9</v>
      </c>
      <c r="X63" s="89">
        <f t="shared" si="162"/>
        <v>17.033999999999999</v>
      </c>
      <c r="Y63" s="31">
        <f t="shared" si="168"/>
        <v>3329.5</v>
      </c>
      <c r="Z63" s="31">
        <f t="shared" si="168"/>
        <v>4146.8</v>
      </c>
      <c r="AA63" s="31">
        <f t="shared" si="168"/>
        <v>4903.5</v>
      </c>
      <c r="AB63" s="31">
        <f t="shared" si="168"/>
        <v>4449.5</v>
      </c>
      <c r="AC63" s="31">
        <f t="shared" si="168"/>
        <v>6568.3</v>
      </c>
      <c r="AD63" s="31">
        <f t="shared" si="168"/>
        <v>9080.7000000000007</v>
      </c>
      <c r="AE63" s="28">
        <f t="shared" si="150"/>
        <v>2928.4</v>
      </c>
      <c r="AF63" s="89">
        <f>RCF!C$13</f>
        <v>16.48</v>
      </c>
      <c r="AG63" s="31">
        <f t="shared" si="169"/>
        <v>4831.8999999999996</v>
      </c>
      <c r="AH63" s="31">
        <f t="shared" si="169"/>
        <v>6149.6</v>
      </c>
      <c r="AI63" s="31">
        <f t="shared" si="169"/>
        <v>8785.2000000000007</v>
      </c>
      <c r="AJ63" s="28">
        <f t="shared" si="152"/>
        <v>3062.3</v>
      </c>
      <c r="AK63" s="89">
        <f>RCF!C$25</f>
        <v>17.233333333333334</v>
      </c>
      <c r="AL63" s="28">
        <f t="shared" si="153"/>
        <v>4135</v>
      </c>
      <c r="AM63" s="89">
        <f>RCF!C$29</f>
        <v>23.27</v>
      </c>
      <c r="AN63" s="28">
        <f t="shared" si="154"/>
        <v>3289.9</v>
      </c>
      <c r="AO63" s="89">
        <f>RCF!C$33</f>
        <v>18.513999999999999</v>
      </c>
      <c r="AP63" s="31">
        <f t="shared" si="155"/>
        <v>4934.8</v>
      </c>
      <c r="AQ63" s="28">
        <f t="shared" si="156"/>
        <v>3075.3</v>
      </c>
      <c r="AR63" s="89">
        <f>RCF!C$35</f>
        <v>17.306666666666668</v>
      </c>
      <c r="AS63" s="31">
        <f t="shared" si="170"/>
        <v>3997.8</v>
      </c>
      <c r="AT63" s="31">
        <f t="shared" si="170"/>
        <v>4459.1000000000004</v>
      </c>
      <c r="AU63" s="28">
        <f t="shared" si="158"/>
        <v>3173.7</v>
      </c>
      <c r="AV63" s="89">
        <f>RCF!C$37</f>
        <v>17.86</v>
      </c>
      <c r="AW63" s="91">
        <f t="shared" si="165"/>
        <v>3211</v>
      </c>
      <c r="AX63" s="89">
        <f>RCF!C$64</f>
        <v>18.07</v>
      </c>
      <c r="AY63" s="28">
        <f t="shared" si="159"/>
        <v>3256</v>
      </c>
      <c r="AZ63" s="89">
        <f>RCF!C$39</f>
        <v>18.323333333333334</v>
      </c>
      <c r="BA63" s="28">
        <f t="shared" si="160"/>
        <v>3123.7</v>
      </c>
      <c r="BB63" s="89">
        <f>RCF!C$41</f>
        <v>17.579000000000001</v>
      </c>
    </row>
    <row r="64" spans="1:54" x14ac:dyDescent="0.2">
      <c r="A64" s="49" t="s">
        <v>175</v>
      </c>
      <c r="B64" s="36" t="s">
        <v>36</v>
      </c>
      <c r="C64" s="48">
        <v>50</v>
      </c>
      <c r="D64" s="50">
        <f t="shared" si="140"/>
        <v>837.9</v>
      </c>
      <c r="E64" s="51">
        <f>BB64</f>
        <v>16.757000000000001</v>
      </c>
      <c r="F64" s="28">
        <f t="shared" si="141"/>
        <v>837.6</v>
      </c>
      <c r="G64" s="89">
        <f>RCF!F$5</f>
        <v>16.753</v>
      </c>
      <c r="H64" s="28">
        <f t="shared" si="142"/>
        <v>837.6</v>
      </c>
      <c r="I64" s="89">
        <f t="shared" si="143"/>
        <v>16.753</v>
      </c>
      <c r="J64" s="31">
        <f t="shared" si="166"/>
        <v>921.4</v>
      </c>
      <c r="K64" s="31">
        <f t="shared" si="166"/>
        <v>1147.5999999999999</v>
      </c>
      <c r="L64" s="31">
        <f t="shared" si="166"/>
        <v>1231.3</v>
      </c>
      <c r="M64" s="31">
        <f t="shared" si="166"/>
        <v>1357</v>
      </c>
      <c r="N64" s="31">
        <f t="shared" si="166"/>
        <v>1675.3</v>
      </c>
      <c r="O64" s="31">
        <f t="shared" si="166"/>
        <v>1800.9</v>
      </c>
      <c r="P64" s="31">
        <f t="shared" si="166"/>
        <v>2513</v>
      </c>
      <c r="Q64" s="28">
        <f t="shared" si="145"/>
        <v>841.8</v>
      </c>
      <c r="R64" s="89">
        <f>RCF!F$7</f>
        <v>16.835999999999999</v>
      </c>
      <c r="S64" s="31">
        <f t="shared" si="167"/>
        <v>1094.3</v>
      </c>
      <c r="T64" s="31">
        <f t="shared" si="167"/>
        <v>1262.7</v>
      </c>
      <c r="U64" s="28">
        <f t="shared" si="147"/>
        <v>811.9</v>
      </c>
      <c r="V64" s="89">
        <f>RCF!F$9</f>
        <v>16.238</v>
      </c>
      <c r="W64" s="28">
        <f t="shared" si="148"/>
        <v>811.9</v>
      </c>
      <c r="X64" s="89">
        <f t="shared" si="162"/>
        <v>16.238</v>
      </c>
      <c r="Y64" s="31">
        <f t="shared" si="168"/>
        <v>893</v>
      </c>
      <c r="Z64" s="31">
        <f t="shared" si="168"/>
        <v>1112.3</v>
      </c>
      <c r="AA64" s="31">
        <f t="shared" si="168"/>
        <v>1315.2</v>
      </c>
      <c r="AB64" s="31">
        <f t="shared" si="168"/>
        <v>1193.4000000000001</v>
      </c>
      <c r="AC64" s="31">
        <f t="shared" si="168"/>
        <v>1761.8</v>
      </c>
      <c r="AD64" s="31">
        <f t="shared" si="168"/>
        <v>2435.6999999999998</v>
      </c>
      <c r="AE64" s="28">
        <f t="shared" si="150"/>
        <v>786.5</v>
      </c>
      <c r="AF64" s="89">
        <f>RCF!F$13</f>
        <v>15.73</v>
      </c>
      <c r="AG64" s="31">
        <f t="shared" si="169"/>
        <v>1297.7</v>
      </c>
      <c r="AH64" s="31">
        <f t="shared" si="169"/>
        <v>1651.7</v>
      </c>
      <c r="AI64" s="31">
        <f t="shared" si="169"/>
        <v>2359.5</v>
      </c>
      <c r="AJ64" s="28">
        <f t="shared" si="152"/>
        <v>821.3</v>
      </c>
      <c r="AK64" s="89">
        <f>RCF!F$25</f>
        <v>16.425999999999998</v>
      </c>
      <c r="AL64" s="28">
        <f t="shared" si="153"/>
        <v>1109.2</v>
      </c>
      <c r="AM64" s="89">
        <f>RCF!F$29</f>
        <v>22.184000000000001</v>
      </c>
      <c r="AN64" s="28">
        <f t="shared" si="154"/>
        <v>882.4</v>
      </c>
      <c r="AO64" s="89">
        <f>RCF!F$33</f>
        <v>17.648</v>
      </c>
      <c r="AP64" s="31">
        <f t="shared" si="155"/>
        <v>1323.6</v>
      </c>
      <c r="AQ64" s="28">
        <f t="shared" si="156"/>
        <v>824.6</v>
      </c>
      <c r="AR64" s="89">
        <f>RCF!F$35</f>
        <v>16.492000000000001</v>
      </c>
      <c r="AS64" s="31">
        <f t="shared" si="170"/>
        <v>1071.9000000000001</v>
      </c>
      <c r="AT64" s="31">
        <f t="shared" si="170"/>
        <v>1195.5999999999999</v>
      </c>
      <c r="AU64" s="28">
        <f t="shared" si="158"/>
        <v>851.6</v>
      </c>
      <c r="AV64" s="89">
        <f>RCF!F$37</f>
        <v>17.032</v>
      </c>
      <c r="AW64" s="91">
        <f t="shared" si="165"/>
        <v>861</v>
      </c>
      <c r="AX64" s="89">
        <f>RCF!F$64</f>
        <v>17.22</v>
      </c>
      <c r="AY64" s="28">
        <f t="shared" si="159"/>
        <v>868</v>
      </c>
      <c r="AZ64" s="89">
        <f>RCF!F$39</f>
        <v>17.36</v>
      </c>
      <c r="BA64" s="28">
        <f t="shared" si="160"/>
        <v>837.8</v>
      </c>
      <c r="BB64" s="89">
        <f>RCF!F$41</f>
        <v>16.757000000000001</v>
      </c>
    </row>
    <row r="65" spans="1:54" ht="25.5" x14ac:dyDescent="0.2">
      <c r="A65" s="47">
        <v>3627</v>
      </c>
      <c r="B65" s="33" t="s">
        <v>171</v>
      </c>
      <c r="C65" s="34">
        <v>60</v>
      </c>
      <c r="D65" s="50">
        <f t="shared" si="140"/>
        <v>1054.7</v>
      </c>
      <c r="E65" s="51">
        <f>BB65</f>
        <v>17.579000000000001</v>
      </c>
      <c r="F65" s="28">
        <f t="shared" si="141"/>
        <v>1054.5999999999999</v>
      </c>
      <c r="G65" s="89">
        <f>RCF!C$5</f>
        <v>17.577000000000002</v>
      </c>
      <c r="H65" s="28">
        <f t="shared" si="142"/>
        <v>1054.5999999999999</v>
      </c>
      <c r="I65" s="89">
        <f t="shared" si="143"/>
        <v>17.577000000000002</v>
      </c>
      <c r="J65" s="31">
        <f t="shared" si="166"/>
        <v>1160.0999999999999</v>
      </c>
      <c r="K65" s="31">
        <f t="shared" si="166"/>
        <v>1444.8</v>
      </c>
      <c r="L65" s="31">
        <f t="shared" si="166"/>
        <v>1550.3</v>
      </c>
      <c r="M65" s="31">
        <f t="shared" si="166"/>
        <v>1708.5</v>
      </c>
      <c r="N65" s="31">
        <f t="shared" si="166"/>
        <v>2109.1999999999998</v>
      </c>
      <c r="O65" s="31">
        <f t="shared" si="166"/>
        <v>2267.4</v>
      </c>
      <c r="P65" s="31">
        <f t="shared" si="166"/>
        <v>3163.9</v>
      </c>
      <c r="Q65" s="28">
        <f t="shared" si="145"/>
        <v>1059.5999999999999</v>
      </c>
      <c r="R65" s="89">
        <f>RCF!C$7</f>
        <v>17.66</v>
      </c>
      <c r="S65" s="31">
        <f t="shared" si="167"/>
        <v>1377.4</v>
      </c>
      <c r="T65" s="31">
        <f t="shared" si="167"/>
        <v>1589.4</v>
      </c>
      <c r="U65" s="28">
        <f t="shared" si="147"/>
        <v>1022</v>
      </c>
      <c r="V65" s="89">
        <f>RCF!C$9</f>
        <v>17.033999999999999</v>
      </c>
      <c r="W65" s="28">
        <f t="shared" si="148"/>
        <v>1022</v>
      </c>
      <c r="X65" s="89">
        <f t="shared" si="162"/>
        <v>17.033999999999999</v>
      </c>
      <c r="Y65" s="31">
        <f t="shared" si="168"/>
        <v>1124.2</v>
      </c>
      <c r="Z65" s="31">
        <f t="shared" si="168"/>
        <v>1400.1</v>
      </c>
      <c r="AA65" s="31">
        <f t="shared" si="168"/>
        <v>1655.6</v>
      </c>
      <c r="AB65" s="31">
        <f t="shared" si="168"/>
        <v>1502.3</v>
      </c>
      <c r="AC65" s="31">
        <f t="shared" si="168"/>
        <v>2217.6999999999998</v>
      </c>
      <c r="AD65" s="31">
        <f t="shared" si="168"/>
        <v>3066</v>
      </c>
      <c r="AE65" s="28">
        <f t="shared" si="150"/>
        <v>988.8</v>
      </c>
      <c r="AF65" s="89">
        <f>RCF!C$13</f>
        <v>16.48</v>
      </c>
      <c r="AG65" s="31">
        <f t="shared" si="169"/>
        <v>1631.5</v>
      </c>
      <c r="AH65" s="31">
        <f t="shared" si="169"/>
        <v>2076.5</v>
      </c>
      <c r="AI65" s="31">
        <f t="shared" si="169"/>
        <v>2966.4</v>
      </c>
      <c r="AJ65" s="28">
        <f t="shared" si="152"/>
        <v>1034</v>
      </c>
      <c r="AK65" s="89">
        <f>RCF!C$25</f>
        <v>17.233333333333334</v>
      </c>
      <c r="AL65" s="28">
        <f t="shared" si="153"/>
        <v>1396.2</v>
      </c>
      <c r="AM65" s="89">
        <f>RCF!C$29</f>
        <v>23.27</v>
      </c>
      <c r="AN65" s="28">
        <f t="shared" si="154"/>
        <v>1110.8</v>
      </c>
      <c r="AO65" s="89">
        <f>RCF!C$33</f>
        <v>18.513999999999999</v>
      </c>
      <c r="AP65" s="31">
        <f t="shared" si="155"/>
        <v>1666.2</v>
      </c>
      <c r="AQ65" s="28">
        <f t="shared" si="156"/>
        <v>1038.4000000000001</v>
      </c>
      <c r="AR65" s="89">
        <f>RCF!C$35</f>
        <v>17.306666666666668</v>
      </c>
      <c r="AS65" s="31">
        <f t="shared" si="170"/>
        <v>1349.9</v>
      </c>
      <c r="AT65" s="31">
        <f t="shared" si="170"/>
        <v>1505.6</v>
      </c>
      <c r="AU65" s="28">
        <f t="shared" si="158"/>
        <v>1071.5999999999999</v>
      </c>
      <c r="AV65" s="89">
        <f>RCF!C$37</f>
        <v>17.86</v>
      </c>
      <c r="AW65" s="91">
        <f t="shared" si="165"/>
        <v>1084.2</v>
      </c>
      <c r="AX65" s="89">
        <f>RCF!C$64</f>
        <v>18.07</v>
      </c>
      <c r="AY65" s="28">
        <f t="shared" si="159"/>
        <v>1099.4000000000001</v>
      </c>
      <c r="AZ65" s="89">
        <f>RCF!C$39</f>
        <v>18.323333333333334</v>
      </c>
      <c r="BA65" s="28">
        <f t="shared" si="160"/>
        <v>1054.7</v>
      </c>
      <c r="BB65" s="89">
        <f>RCF!C$41</f>
        <v>17.579000000000001</v>
      </c>
    </row>
    <row r="66" spans="1:54" ht="51" x14ac:dyDescent="0.2">
      <c r="A66" s="49" t="s">
        <v>176</v>
      </c>
      <c r="B66" s="33" t="s">
        <v>37</v>
      </c>
      <c r="C66" s="34">
        <v>60</v>
      </c>
      <c r="D66" s="50">
        <f t="shared" si="140"/>
        <v>1005.4</v>
      </c>
      <c r="E66" s="51">
        <f>BB66</f>
        <v>16.757000000000001</v>
      </c>
      <c r="F66" s="28">
        <f t="shared" si="141"/>
        <v>1005.1</v>
      </c>
      <c r="G66" s="89">
        <f>RCF!F$5</f>
        <v>16.753</v>
      </c>
      <c r="H66" s="28">
        <f t="shared" si="142"/>
        <v>1005.1</v>
      </c>
      <c r="I66" s="89">
        <f t="shared" si="143"/>
        <v>16.753</v>
      </c>
      <c r="J66" s="31">
        <f t="shared" si="166"/>
        <v>1105.7</v>
      </c>
      <c r="K66" s="31">
        <f t="shared" si="166"/>
        <v>1377.1</v>
      </c>
      <c r="L66" s="31">
        <f t="shared" si="166"/>
        <v>1477.6</v>
      </c>
      <c r="M66" s="31">
        <f t="shared" si="166"/>
        <v>1628.4</v>
      </c>
      <c r="N66" s="31">
        <f t="shared" si="166"/>
        <v>2010.4</v>
      </c>
      <c r="O66" s="31">
        <f t="shared" si="166"/>
        <v>2161.1</v>
      </c>
      <c r="P66" s="31">
        <f t="shared" si="166"/>
        <v>3015.5</v>
      </c>
      <c r="Q66" s="28">
        <f t="shared" si="145"/>
        <v>1010.1</v>
      </c>
      <c r="R66" s="89">
        <f>RCF!F$7</f>
        <v>16.835999999999999</v>
      </c>
      <c r="S66" s="31">
        <f t="shared" si="167"/>
        <v>1313.1</v>
      </c>
      <c r="T66" s="31">
        <f t="shared" si="167"/>
        <v>1515.1</v>
      </c>
      <c r="U66" s="28">
        <f t="shared" si="147"/>
        <v>974.2</v>
      </c>
      <c r="V66" s="89">
        <f>RCF!F$9</f>
        <v>16.238</v>
      </c>
      <c r="W66" s="28">
        <f t="shared" si="148"/>
        <v>974.2</v>
      </c>
      <c r="X66" s="89">
        <f t="shared" si="162"/>
        <v>16.238</v>
      </c>
      <c r="Y66" s="31">
        <f t="shared" si="168"/>
        <v>1071.5999999999999</v>
      </c>
      <c r="Z66" s="31">
        <f t="shared" si="168"/>
        <v>1334.6</v>
      </c>
      <c r="AA66" s="31">
        <f t="shared" si="168"/>
        <v>1578.2</v>
      </c>
      <c r="AB66" s="31">
        <f t="shared" si="168"/>
        <v>1432</v>
      </c>
      <c r="AC66" s="31">
        <f t="shared" si="168"/>
        <v>2114</v>
      </c>
      <c r="AD66" s="31">
        <f t="shared" si="168"/>
        <v>2922.6</v>
      </c>
      <c r="AE66" s="28">
        <f t="shared" si="150"/>
        <v>943.8</v>
      </c>
      <c r="AF66" s="89">
        <f>RCF!F$13</f>
        <v>15.73</v>
      </c>
      <c r="AG66" s="31">
        <f t="shared" si="169"/>
        <v>1557.3</v>
      </c>
      <c r="AH66" s="31">
        <f t="shared" si="169"/>
        <v>1982</v>
      </c>
      <c r="AI66" s="31">
        <f t="shared" si="169"/>
        <v>2831.4</v>
      </c>
      <c r="AJ66" s="28">
        <f t="shared" si="152"/>
        <v>985.5</v>
      </c>
      <c r="AK66" s="89">
        <f>RCF!F$25</f>
        <v>16.425999999999998</v>
      </c>
      <c r="AL66" s="28">
        <f t="shared" si="153"/>
        <v>1331</v>
      </c>
      <c r="AM66" s="89">
        <f>RCF!F$29</f>
        <v>22.184000000000001</v>
      </c>
      <c r="AN66" s="28">
        <f t="shared" si="154"/>
        <v>1058.8</v>
      </c>
      <c r="AO66" s="89">
        <f>RCF!F$33</f>
        <v>17.648</v>
      </c>
      <c r="AP66" s="31">
        <f t="shared" si="155"/>
        <v>1588.2</v>
      </c>
      <c r="AQ66" s="28">
        <f t="shared" si="156"/>
        <v>989.5</v>
      </c>
      <c r="AR66" s="89">
        <f>RCF!F$35</f>
        <v>16.492000000000001</v>
      </c>
      <c r="AS66" s="31">
        <f t="shared" si="170"/>
        <v>1286.3</v>
      </c>
      <c r="AT66" s="31">
        <f t="shared" si="170"/>
        <v>1434.7</v>
      </c>
      <c r="AU66" s="28">
        <f t="shared" si="158"/>
        <v>1021.9</v>
      </c>
      <c r="AV66" s="89">
        <f>RCF!F$37</f>
        <v>17.032</v>
      </c>
      <c r="AW66" s="91">
        <f t="shared" si="165"/>
        <v>1033.2</v>
      </c>
      <c r="AX66" s="89">
        <f>RCF!F$64</f>
        <v>17.22</v>
      </c>
      <c r="AY66" s="28">
        <f t="shared" si="159"/>
        <v>1041.5999999999999</v>
      </c>
      <c r="AZ66" s="89">
        <f>RCF!F$39</f>
        <v>17.36</v>
      </c>
      <c r="BA66" s="28">
        <f t="shared" si="160"/>
        <v>1005.4</v>
      </c>
      <c r="BB66" s="89">
        <f>RCF!F$41</f>
        <v>16.757000000000001</v>
      </c>
    </row>
    <row r="67" spans="1:54" ht="25.5" x14ac:dyDescent="0.2">
      <c r="A67" s="47">
        <v>3637</v>
      </c>
      <c r="B67" s="33" t="s">
        <v>172</v>
      </c>
      <c r="C67" s="34">
        <v>78</v>
      </c>
      <c r="D67" s="50">
        <f t="shared" si="140"/>
        <v>1371.2</v>
      </c>
      <c r="E67" s="51">
        <f>BB67</f>
        <v>17.579000000000001</v>
      </c>
      <c r="F67" s="28">
        <f t="shared" si="141"/>
        <v>1371</v>
      </c>
      <c r="G67" s="89">
        <f>RCF!C$5</f>
        <v>17.577000000000002</v>
      </c>
      <c r="H67" s="28">
        <f t="shared" si="142"/>
        <v>1371</v>
      </c>
      <c r="I67" s="89">
        <f t="shared" si="143"/>
        <v>17.577000000000002</v>
      </c>
      <c r="J67" s="31">
        <f t="shared" si="166"/>
        <v>1508.1</v>
      </c>
      <c r="K67" s="31">
        <f t="shared" si="166"/>
        <v>1878.3</v>
      </c>
      <c r="L67" s="31">
        <f t="shared" si="166"/>
        <v>2015.4</v>
      </c>
      <c r="M67" s="31">
        <f t="shared" si="166"/>
        <v>2221</v>
      </c>
      <c r="N67" s="31">
        <f t="shared" si="166"/>
        <v>2742</v>
      </c>
      <c r="O67" s="31">
        <f t="shared" si="166"/>
        <v>2947.7</v>
      </c>
      <c r="P67" s="31">
        <f t="shared" si="166"/>
        <v>4113</v>
      </c>
      <c r="Q67" s="28">
        <f t="shared" si="145"/>
        <v>1377.4</v>
      </c>
      <c r="R67" s="89">
        <f>RCF!C$7</f>
        <v>17.66</v>
      </c>
      <c r="S67" s="31">
        <f t="shared" si="167"/>
        <v>1790.6</v>
      </c>
      <c r="T67" s="31">
        <f t="shared" si="167"/>
        <v>2066.1</v>
      </c>
      <c r="U67" s="28">
        <f t="shared" si="147"/>
        <v>1328.6</v>
      </c>
      <c r="V67" s="89">
        <f>RCF!C$9</f>
        <v>17.033999999999999</v>
      </c>
      <c r="W67" s="28">
        <f t="shared" si="148"/>
        <v>1328.6</v>
      </c>
      <c r="X67" s="89">
        <f t="shared" si="162"/>
        <v>17.033999999999999</v>
      </c>
      <c r="Y67" s="31">
        <f t="shared" si="168"/>
        <v>1461.4</v>
      </c>
      <c r="Z67" s="31">
        <f t="shared" si="168"/>
        <v>1820.1</v>
      </c>
      <c r="AA67" s="31">
        <f t="shared" si="168"/>
        <v>2152.3000000000002</v>
      </c>
      <c r="AB67" s="31">
        <f t="shared" si="168"/>
        <v>1953</v>
      </c>
      <c r="AC67" s="31">
        <f t="shared" si="168"/>
        <v>2883</v>
      </c>
      <c r="AD67" s="31">
        <f t="shared" si="168"/>
        <v>3985.8</v>
      </c>
      <c r="AE67" s="28">
        <f t="shared" si="150"/>
        <v>1285.4000000000001</v>
      </c>
      <c r="AF67" s="89">
        <f>RCF!C$13</f>
        <v>16.48</v>
      </c>
      <c r="AG67" s="31">
        <f t="shared" si="169"/>
        <v>2120.9</v>
      </c>
      <c r="AH67" s="31">
        <f t="shared" si="169"/>
        <v>2699.3</v>
      </c>
      <c r="AI67" s="31">
        <f t="shared" si="169"/>
        <v>3856.2</v>
      </c>
      <c r="AJ67" s="28">
        <f t="shared" si="152"/>
        <v>1344.2</v>
      </c>
      <c r="AK67" s="89">
        <f>RCF!C$25</f>
        <v>17.233333333333334</v>
      </c>
      <c r="AL67" s="28">
        <f t="shared" si="153"/>
        <v>1815</v>
      </c>
      <c r="AM67" s="89">
        <f>RCF!C$29</f>
        <v>23.27</v>
      </c>
      <c r="AN67" s="28">
        <f t="shared" si="154"/>
        <v>1444</v>
      </c>
      <c r="AO67" s="89">
        <f>RCF!C$33</f>
        <v>18.513999999999999</v>
      </c>
      <c r="AP67" s="31">
        <f t="shared" si="155"/>
        <v>2166</v>
      </c>
      <c r="AQ67" s="28">
        <f t="shared" si="156"/>
        <v>1349.9</v>
      </c>
      <c r="AR67" s="89">
        <f>RCF!C$35</f>
        <v>17.306666666666668</v>
      </c>
      <c r="AS67" s="31">
        <f t="shared" si="170"/>
        <v>1754.8</v>
      </c>
      <c r="AT67" s="31">
        <f t="shared" si="170"/>
        <v>1957.3</v>
      </c>
      <c r="AU67" s="28">
        <f t="shared" si="158"/>
        <v>1393</v>
      </c>
      <c r="AV67" s="89">
        <f>RCF!C$37</f>
        <v>17.86</v>
      </c>
      <c r="AW67" s="91">
        <f t="shared" si="165"/>
        <v>1409.4</v>
      </c>
      <c r="AX67" s="89">
        <f>RCF!C$64</f>
        <v>18.07</v>
      </c>
      <c r="AY67" s="28">
        <f t="shared" si="159"/>
        <v>1429.2</v>
      </c>
      <c r="AZ67" s="89">
        <f>RCF!C$39</f>
        <v>18.323333333333334</v>
      </c>
      <c r="BA67" s="28">
        <f t="shared" si="160"/>
        <v>1371.1</v>
      </c>
      <c r="BB67" s="89">
        <f>RCF!C$41</f>
        <v>17.579000000000001</v>
      </c>
    </row>
    <row r="68" spans="1:54" x14ac:dyDescent="0.2">
      <c r="A68" s="47">
        <v>5115</v>
      </c>
      <c r="B68" s="33" t="s">
        <v>173</v>
      </c>
      <c r="C68" s="34">
        <v>50</v>
      </c>
      <c r="D68" s="50">
        <f t="shared" si="140"/>
        <v>879</v>
      </c>
      <c r="E68" s="51">
        <f>BB68</f>
        <v>17.579000000000001</v>
      </c>
      <c r="F68" s="28">
        <f t="shared" si="141"/>
        <v>878.8</v>
      </c>
      <c r="G68" s="89">
        <f>RCF!C$5</f>
        <v>17.577000000000002</v>
      </c>
      <c r="H68" s="28">
        <f t="shared" si="142"/>
        <v>878.8</v>
      </c>
      <c r="I68" s="89">
        <f t="shared" si="143"/>
        <v>17.577000000000002</v>
      </c>
      <c r="J68" s="31">
        <f t="shared" si="166"/>
        <v>966.7</v>
      </c>
      <c r="K68" s="31">
        <f t="shared" si="166"/>
        <v>1204</v>
      </c>
      <c r="L68" s="31">
        <f t="shared" si="166"/>
        <v>1291.9000000000001</v>
      </c>
      <c r="M68" s="31">
        <f t="shared" si="166"/>
        <v>1423.7</v>
      </c>
      <c r="N68" s="31">
        <f t="shared" si="166"/>
        <v>1757.7</v>
      </c>
      <c r="O68" s="31">
        <f t="shared" si="166"/>
        <v>1889.5</v>
      </c>
      <c r="P68" s="31">
        <f t="shared" si="166"/>
        <v>2636.6</v>
      </c>
      <c r="Q68" s="28">
        <f t="shared" si="145"/>
        <v>883</v>
      </c>
      <c r="R68" s="89">
        <f>RCF!C$7</f>
        <v>17.66</v>
      </c>
      <c r="S68" s="31">
        <f t="shared" si="167"/>
        <v>1147.9000000000001</v>
      </c>
      <c r="T68" s="31">
        <f t="shared" si="167"/>
        <v>1324.5</v>
      </c>
      <c r="U68" s="28">
        <f t="shared" si="147"/>
        <v>851.7</v>
      </c>
      <c r="V68" s="89">
        <f>RCF!C$9</f>
        <v>17.033999999999999</v>
      </c>
      <c r="W68" s="28">
        <f t="shared" si="148"/>
        <v>851.7</v>
      </c>
      <c r="X68" s="89">
        <f t="shared" si="162"/>
        <v>17.033999999999999</v>
      </c>
      <c r="Y68" s="31">
        <f t="shared" si="168"/>
        <v>936.8</v>
      </c>
      <c r="Z68" s="31">
        <f t="shared" si="168"/>
        <v>1166.8</v>
      </c>
      <c r="AA68" s="31">
        <f t="shared" si="168"/>
        <v>1379.7</v>
      </c>
      <c r="AB68" s="31">
        <f t="shared" si="168"/>
        <v>1251.9000000000001</v>
      </c>
      <c r="AC68" s="31">
        <f t="shared" si="168"/>
        <v>1848.1</v>
      </c>
      <c r="AD68" s="31">
        <f t="shared" si="168"/>
        <v>2555.1</v>
      </c>
      <c r="AE68" s="28">
        <f t="shared" si="150"/>
        <v>824</v>
      </c>
      <c r="AF68" s="89">
        <f>RCF!C$13</f>
        <v>16.48</v>
      </c>
      <c r="AG68" s="31">
        <f t="shared" si="169"/>
        <v>1359.6</v>
      </c>
      <c r="AH68" s="31">
        <f t="shared" si="169"/>
        <v>1730.4</v>
      </c>
      <c r="AI68" s="31">
        <f t="shared" si="169"/>
        <v>2472</v>
      </c>
      <c r="AJ68" s="28">
        <f t="shared" si="152"/>
        <v>861.6</v>
      </c>
      <c r="AK68" s="89">
        <f>RCF!C$25</f>
        <v>17.233333333333334</v>
      </c>
      <c r="AL68" s="28">
        <f t="shared" si="153"/>
        <v>1163.5</v>
      </c>
      <c r="AM68" s="89">
        <f>RCF!C$29</f>
        <v>23.27</v>
      </c>
      <c r="AN68" s="28">
        <f t="shared" si="154"/>
        <v>925.7</v>
      </c>
      <c r="AO68" s="89">
        <f>RCF!C$33</f>
        <v>18.513999999999999</v>
      </c>
      <c r="AP68" s="31">
        <f t="shared" si="155"/>
        <v>1388.5</v>
      </c>
      <c r="AQ68" s="28">
        <f t="shared" si="156"/>
        <v>865.3</v>
      </c>
      <c r="AR68" s="89">
        <f>RCF!C$35</f>
        <v>17.306666666666668</v>
      </c>
      <c r="AS68" s="31">
        <f t="shared" si="170"/>
        <v>1124.8</v>
      </c>
      <c r="AT68" s="31">
        <f t="shared" si="170"/>
        <v>1254.5999999999999</v>
      </c>
      <c r="AU68" s="28">
        <f t="shared" si="158"/>
        <v>893</v>
      </c>
      <c r="AV68" s="89">
        <f>RCF!C$37</f>
        <v>17.86</v>
      </c>
      <c r="AW68" s="91">
        <f t="shared" si="165"/>
        <v>903.5</v>
      </c>
      <c r="AX68" s="89">
        <f>RCF!C$64</f>
        <v>18.07</v>
      </c>
      <c r="AY68" s="28">
        <f t="shared" si="159"/>
        <v>916.1</v>
      </c>
      <c r="AZ68" s="89">
        <f>RCF!C$39</f>
        <v>18.323333333333334</v>
      </c>
      <c r="BA68" s="28">
        <f t="shared" si="160"/>
        <v>878.9</v>
      </c>
      <c r="BB68" s="89">
        <f>RCF!C$41</f>
        <v>17.579000000000001</v>
      </c>
    </row>
    <row r="69" spans="1:54" ht="38.25" x14ac:dyDescent="0.2">
      <c r="A69" s="47">
        <v>5783</v>
      </c>
      <c r="B69" s="33" t="s">
        <v>174</v>
      </c>
      <c r="C69" s="34">
        <v>42.65</v>
      </c>
      <c r="D69" s="28">
        <f t="shared" si="140"/>
        <v>2906.3</v>
      </c>
      <c r="E69" s="89">
        <f>RCF!C$43</f>
        <v>68.141894999999991</v>
      </c>
      <c r="F69" s="28">
        <f t="shared" si="141"/>
        <v>749.6</v>
      </c>
      <c r="G69" s="89">
        <f>RCF!C$5</f>
        <v>17.577000000000002</v>
      </c>
      <c r="H69" s="28">
        <f t="shared" si="142"/>
        <v>749.6</v>
      </c>
      <c r="I69" s="89">
        <f t="shared" si="143"/>
        <v>17.577000000000002</v>
      </c>
      <c r="J69" s="31">
        <f t="shared" si="166"/>
        <v>824.6</v>
      </c>
      <c r="K69" s="31">
        <f t="shared" si="166"/>
        <v>1027</v>
      </c>
      <c r="L69" s="31">
        <f t="shared" si="166"/>
        <v>1102</v>
      </c>
      <c r="M69" s="31">
        <f t="shared" si="166"/>
        <v>1214.4000000000001</v>
      </c>
      <c r="N69" s="31">
        <f t="shared" si="166"/>
        <v>1499.3</v>
      </c>
      <c r="O69" s="31">
        <f t="shared" si="166"/>
        <v>1611.8</v>
      </c>
      <c r="P69" s="31">
        <f t="shared" si="166"/>
        <v>2249</v>
      </c>
      <c r="Q69" s="28">
        <f t="shared" si="145"/>
        <v>753.1</v>
      </c>
      <c r="R69" s="89">
        <f>RCF!C$7</f>
        <v>17.66</v>
      </c>
      <c r="S69" s="31">
        <f t="shared" si="167"/>
        <v>979</v>
      </c>
      <c r="T69" s="31">
        <f t="shared" si="167"/>
        <v>1129.5999999999999</v>
      </c>
      <c r="U69" s="28">
        <f t="shared" si="147"/>
        <v>726.5</v>
      </c>
      <c r="V69" s="89">
        <f>RCF!C$9</f>
        <v>17.033999999999999</v>
      </c>
      <c r="W69" s="28">
        <f t="shared" si="148"/>
        <v>726.5</v>
      </c>
      <c r="X69" s="89">
        <f t="shared" si="162"/>
        <v>17.033999999999999</v>
      </c>
      <c r="Y69" s="31">
        <f t="shared" si="168"/>
        <v>799.1</v>
      </c>
      <c r="Z69" s="31">
        <f t="shared" si="168"/>
        <v>995.3</v>
      </c>
      <c r="AA69" s="31">
        <f t="shared" si="168"/>
        <v>1176.9000000000001</v>
      </c>
      <c r="AB69" s="31">
        <f t="shared" si="168"/>
        <v>1067.9000000000001</v>
      </c>
      <c r="AC69" s="31">
        <f t="shared" si="168"/>
        <v>1576.5</v>
      </c>
      <c r="AD69" s="31">
        <f t="shared" si="168"/>
        <v>2179.5</v>
      </c>
      <c r="AE69" s="28">
        <f t="shared" si="150"/>
        <v>702.8</v>
      </c>
      <c r="AF69" s="89">
        <f>RCF!C$13</f>
        <v>16.48</v>
      </c>
      <c r="AG69" s="31">
        <f t="shared" si="169"/>
        <v>1159.5999999999999</v>
      </c>
      <c r="AH69" s="31">
        <f t="shared" si="169"/>
        <v>1475.9</v>
      </c>
      <c r="AI69" s="31">
        <f t="shared" si="169"/>
        <v>2108.4</v>
      </c>
      <c r="AJ69" s="28">
        <f t="shared" si="152"/>
        <v>735</v>
      </c>
      <c r="AK69" s="89">
        <f>RCF!C$25</f>
        <v>17.233333333333334</v>
      </c>
      <c r="AL69" s="28">
        <f t="shared" si="153"/>
        <v>992.4</v>
      </c>
      <c r="AM69" s="89">
        <f>RCF!C$29</f>
        <v>23.27</v>
      </c>
      <c r="AN69" s="28">
        <f t="shared" si="154"/>
        <v>789.6</v>
      </c>
      <c r="AO69" s="89">
        <f>RCF!C$33</f>
        <v>18.513999999999999</v>
      </c>
      <c r="AP69" s="31">
        <f t="shared" si="155"/>
        <v>1184.4000000000001</v>
      </c>
      <c r="AQ69" s="28">
        <f t="shared" si="156"/>
        <v>738.1</v>
      </c>
      <c r="AR69" s="89">
        <f>RCF!C$35</f>
        <v>17.306666666666668</v>
      </c>
      <c r="AS69" s="31">
        <f t="shared" si="170"/>
        <v>959.5</v>
      </c>
      <c r="AT69" s="31">
        <f t="shared" si="170"/>
        <v>1070.2</v>
      </c>
      <c r="AU69" s="28">
        <f t="shared" si="158"/>
        <v>761.7</v>
      </c>
      <c r="AV69" s="89">
        <f>RCF!C$37</f>
        <v>17.86</v>
      </c>
      <c r="AW69" s="91">
        <f t="shared" si="165"/>
        <v>770.6</v>
      </c>
      <c r="AX69" s="89">
        <f>RCF!C$64</f>
        <v>18.07</v>
      </c>
      <c r="AY69" s="28">
        <f t="shared" si="159"/>
        <v>781.4</v>
      </c>
      <c r="AZ69" s="89">
        <f>RCF!C$39</f>
        <v>18.323333333333334</v>
      </c>
      <c r="BA69" s="28">
        <f t="shared" si="160"/>
        <v>749.7</v>
      </c>
      <c r="BB69" s="89">
        <f>RCF!C$41</f>
        <v>17.579000000000001</v>
      </c>
    </row>
    <row r="70" spans="1:54" ht="14.45" customHeight="1" x14ac:dyDescent="0.2">
      <c r="A70" s="52"/>
      <c r="B70" s="53"/>
      <c r="C70" s="54"/>
      <c r="D70" s="55"/>
      <c r="E70" s="56"/>
      <c r="F70" s="55"/>
      <c r="G70" s="56"/>
      <c r="H70" s="55"/>
      <c r="I70" s="56"/>
      <c r="J70" s="42"/>
      <c r="K70" s="42"/>
      <c r="L70" s="42"/>
      <c r="M70" s="42"/>
      <c r="N70" s="42"/>
      <c r="O70" s="42"/>
      <c r="P70" s="42"/>
      <c r="Q70" s="55"/>
      <c r="R70" s="40"/>
      <c r="S70" s="42"/>
      <c r="T70" s="42"/>
      <c r="U70" s="55"/>
      <c r="V70" s="40"/>
      <c r="W70" s="55"/>
      <c r="X70" s="40"/>
      <c r="Y70" s="57"/>
      <c r="Z70" s="57"/>
      <c r="AA70" s="57"/>
      <c r="AB70" s="57"/>
      <c r="AC70" s="57"/>
      <c r="AD70" s="57"/>
      <c r="AE70" s="55"/>
      <c r="AF70" s="56"/>
      <c r="AG70" s="58"/>
      <c r="AH70" s="58"/>
      <c r="AI70" s="58"/>
      <c r="AJ70" s="55"/>
      <c r="AK70" s="56"/>
      <c r="AL70" s="55"/>
      <c r="AM70" s="56"/>
      <c r="AN70" s="55"/>
      <c r="AO70" s="56"/>
      <c r="AP70" s="58"/>
      <c r="AQ70" s="55"/>
      <c r="AR70" s="56"/>
      <c r="AS70" s="58"/>
      <c r="AT70" s="58"/>
      <c r="AU70" s="55"/>
      <c r="AV70" s="56"/>
      <c r="AW70" s="55"/>
      <c r="AX70" s="56"/>
      <c r="AY70" s="55"/>
      <c r="AZ70" s="56"/>
      <c r="BA70" s="55"/>
      <c r="BB70" s="40"/>
    </row>
    <row r="71" spans="1:54" x14ac:dyDescent="0.2">
      <c r="A71" s="239" t="s">
        <v>198</v>
      </c>
      <c r="B71" s="240"/>
      <c r="C71" s="240"/>
      <c r="D71" s="240"/>
      <c r="E71" s="241"/>
      <c r="F71" s="241"/>
      <c r="G71" s="241"/>
      <c r="H71" s="242"/>
      <c r="I71" s="241"/>
      <c r="J71" s="243"/>
      <c r="K71" s="243"/>
      <c r="L71" s="243"/>
      <c r="M71" s="243"/>
      <c r="N71" s="243"/>
      <c r="O71" s="243"/>
      <c r="P71" s="243"/>
      <c r="Q71" s="242"/>
      <c r="R71" s="241"/>
      <c r="S71" s="243"/>
      <c r="T71" s="243"/>
      <c r="U71" s="244"/>
      <c r="V71" s="245"/>
      <c r="W71" s="244"/>
      <c r="X71" s="245"/>
      <c r="Y71" s="240"/>
      <c r="Z71" s="240"/>
      <c r="AA71" s="240"/>
      <c r="AB71" s="240"/>
      <c r="AC71" s="240"/>
      <c r="AD71" s="240"/>
      <c r="AE71" s="242"/>
      <c r="AF71" s="242"/>
      <c r="AG71" s="242"/>
      <c r="AH71" s="242"/>
      <c r="AI71" s="242"/>
      <c r="AJ71" s="240"/>
      <c r="AK71" s="245"/>
      <c r="AL71" s="240"/>
      <c r="AM71" s="245"/>
      <c r="AN71" s="246"/>
      <c r="AO71" s="243"/>
      <c r="AP71" s="242"/>
      <c r="AQ71" s="242"/>
      <c r="AR71" s="242"/>
      <c r="AS71" s="242"/>
      <c r="AT71" s="242"/>
      <c r="AU71" s="242"/>
      <c r="AV71" s="242"/>
      <c r="AW71" s="242"/>
      <c r="AX71" s="242"/>
      <c r="AY71" s="242"/>
      <c r="AZ71" s="242"/>
      <c r="BA71" s="246"/>
      <c r="BB71" s="247"/>
    </row>
    <row r="72" spans="1:54" x14ac:dyDescent="0.2">
      <c r="A72" s="206" t="s">
        <v>38</v>
      </c>
      <c r="B72" s="59"/>
      <c r="C72" s="60"/>
      <c r="D72" s="61"/>
      <c r="E72" s="62"/>
      <c r="F72" s="62"/>
      <c r="G72" s="62"/>
      <c r="H72" s="62"/>
      <c r="I72" s="62"/>
      <c r="J72" s="62"/>
      <c r="K72" s="62"/>
      <c r="L72" s="62"/>
      <c r="M72" s="62"/>
      <c r="N72" s="62"/>
      <c r="O72" s="62"/>
      <c r="P72" s="62"/>
      <c r="Q72" s="62"/>
      <c r="R72" s="62"/>
      <c r="S72" s="62"/>
      <c r="T72" s="62"/>
      <c r="U72" s="61"/>
      <c r="V72" s="62"/>
      <c r="W72" s="61"/>
      <c r="X72" s="62"/>
      <c r="Y72" s="59"/>
      <c r="Z72" s="59"/>
      <c r="AA72" s="59"/>
      <c r="AB72" s="59"/>
      <c r="AC72" s="59"/>
      <c r="AD72" s="59"/>
      <c r="AE72" s="61"/>
      <c r="AF72" s="62"/>
      <c r="AG72" s="62"/>
      <c r="AH72" s="62"/>
      <c r="AI72" s="62"/>
      <c r="AJ72" s="61"/>
      <c r="AK72" s="62"/>
      <c r="AL72" s="61"/>
      <c r="AM72" s="62"/>
      <c r="AN72" s="61"/>
      <c r="AO72" s="62"/>
      <c r="AP72" s="62"/>
      <c r="AQ72" s="61"/>
      <c r="AR72" s="62"/>
      <c r="AS72" s="62"/>
      <c r="AT72" s="62"/>
      <c r="AU72" s="61"/>
      <c r="AV72" s="62"/>
      <c r="AW72" s="61"/>
      <c r="AX72" s="62"/>
      <c r="AY72" s="61"/>
      <c r="AZ72" s="62"/>
      <c r="BA72" s="62"/>
      <c r="BB72" s="63"/>
    </row>
    <row r="73" spans="1:54" x14ac:dyDescent="0.2">
      <c r="A73" s="223" t="s">
        <v>140</v>
      </c>
      <c r="B73" s="208"/>
      <c r="C73" s="208"/>
      <c r="D73" s="208"/>
      <c r="E73" s="208"/>
      <c r="F73" s="209"/>
      <c r="G73" s="209"/>
      <c r="H73" s="209"/>
      <c r="I73" s="209"/>
      <c r="J73" s="210"/>
      <c r="K73" s="210"/>
      <c r="L73" s="210"/>
      <c r="M73" s="210"/>
      <c r="N73" s="210"/>
      <c r="O73" s="210"/>
      <c r="P73" s="210"/>
      <c r="Q73" s="209"/>
      <c r="R73" s="209"/>
      <c r="S73" s="210"/>
      <c r="T73" s="210"/>
      <c r="U73" s="209"/>
      <c r="V73" s="209"/>
      <c r="W73" s="209"/>
      <c r="X73" s="209"/>
      <c r="Y73" s="211"/>
      <c r="Z73" s="211"/>
      <c r="AA73" s="211"/>
      <c r="AB73" s="211"/>
      <c r="AC73" s="211"/>
      <c r="AD73" s="211"/>
      <c r="AE73" s="209"/>
      <c r="AF73" s="209"/>
      <c r="AG73" s="65"/>
      <c r="AH73" s="65"/>
      <c r="AI73" s="65"/>
      <c r="AJ73" s="209"/>
      <c r="AK73" s="209"/>
      <c r="AL73" s="209"/>
      <c r="AM73" s="209"/>
      <c r="AN73" s="118"/>
      <c r="AO73" s="209"/>
      <c r="AP73" s="65"/>
      <c r="AQ73" s="118"/>
      <c r="AR73" s="209"/>
      <c r="AS73" s="65"/>
      <c r="AT73" s="65"/>
      <c r="AU73" s="118"/>
      <c r="AV73" s="209"/>
      <c r="AW73" s="250"/>
      <c r="AX73" s="209"/>
      <c r="AY73" s="118"/>
      <c r="AZ73" s="119"/>
      <c r="BA73" s="209"/>
      <c r="BB73" s="120"/>
    </row>
    <row r="74" spans="1:54" x14ac:dyDescent="0.2">
      <c r="A74" s="121" t="s">
        <v>206</v>
      </c>
      <c r="B74" s="208"/>
      <c r="C74" s="208"/>
      <c r="D74" s="208"/>
      <c r="E74" s="208"/>
      <c r="F74" s="209"/>
      <c r="G74" s="209"/>
      <c r="H74" s="209"/>
      <c r="I74" s="209"/>
      <c r="J74" s="210"/>
      <c r="K74" s="210"/>
      <c r="L74" s="210"/>
      <c r="M74" s="210"/>
      <c r="N74" s="210"/>
      <c r="O74" s="210"/>
      <c r="P74" s="210"/>
      <c r="Q74" s="209"/>
      <c r="R74" s="209"/>
      <c r="S74" s="210"/>
      <c r="T74" s="210"/>
      <c r="U74" s="209"/>
      <c r="V74" s="209"/>
      <c r="W74" s="209"/>
      <c r="X74" s="209"/>
      <c r="Y74" s="211"/>
      <c r="Z74" s="211"/>
      <c r="AA74" s="211"/>
      <c r="AB74" s="211"/>
      <c r="AC74" s="211"/>
      <c r="AD74" s="211"/>
      <c r="AE74" s="209"/>
      <c r="AF74" s="209"/>
      <c r="AG74" s="65"/>
      <c r="AH74" s="65"/>
      <c r="AI74" s="65"/>
      <c r="AJ74" s="209"/>
      <c r="AK74" s="209"/>
      <c r="AL74" s="209"/>
      <c r="AM74" s="209"/>
      <c r="AN74" s="118"/>
      <c r="AO74" s="209"/>
      <c r="AP74" s="65"/>
      <c r="AQ74" s="118"/>
      <c r="AR74" s="209"/>
      <c r="AS74" s="65"/>
      <c r="AT74" s="65"/>
      <c r="AU74" s="118"/>
      <c r="AV74" s="209"/>
      <c r="AW74" s="250"/>
      <c r="AX74" s="209"/>
      <c r="AY74" s="118"/>
      <c r="AZ74" s="119"/>
      <c r="BA74" s="209"/>
      <c r="BB74" s="120"/>
    </row>
    <row r="75" spans="1:54" x14ac:dyDescent="0.2">
      <c r="A75" s="224" t="s">
        <v>184</v>
      </c>
      <c r="B75" s="209"/>
      <c r="C75" s="211"/>
      <c r="D75" s="64"/>
      <c r="E75" s="65"/>
      <c r="F75" s="65"/>
      <c r="G75" s="65"/>
      <c r="H75" s="65"/>
      <c r="I75" s="65"/>
      <c r="J75" s="210"/>
      <c r="K75" s="210"/>
      <c r="L75" s="210"/>
      <c r="M75" s="210"/>
      <c r="N75" s="210"/>
      <c r="O75" s="210"/>
      <c r="P75" s="210"/>
      <c r="Q75" s="65"/>
      <c r="R75" s="65"/>
      <c r="S75" s="210"/>
      <c r="T75" s="210"/>
      <c r="U75" s="64"/>
      <c r="V75" s="65"/>
      <c r="W75" s="64"/>
      <c r="X75" s="65"/>
      <c r="Y75" s="211"/>
      <c r="Z75" s="211"/>
      <c r="AA75" s="211"/>
      <c r="AB75" s="211"/>
      <c r="AC75" s="211"/>
      <c r="AD75" s="211"/>
      <c r="AE75" s="64"/>
      <c r="AF75" s="65"/>
      <c r="AG75" s="65"/>
      <c r="AH75" s="65"/>
      <c r="AI75" s="65"/>
      <c r="AJ75" s="64"/>
      <c r="AK75" s="65"/>
      <c r="AL75" s="64"/>
      <c r="AM75" s="65"/>
      <c r="AN75" s="64"/>
      <c r="AO75" s="65"/>
      <c r="AP75" s="65"/>
      <c r="AQ75" s="64"/>
      <c r="AR75" s="65"/>
      <c r="AS75" s="65"/>
      <c r="AT75" s="65"/>
      <c r="AU75" s="64"/>
      <c r="AV75" s="65"/>
      <c r="AW75" s="64"/>
      <c r="AX75" s="65"/>
      <c r="AY75" s="64"/>
      <c r="AZ75" s="65"/>
      <c r="BA75" s="65"/>
      <c r="BB75" s="66"/>
    </row>
    <row r="76" spans="1:54" x14ac:dyDescent="0.2">
      <c r="A76" s="207" t="s">
        <v>185</v>
      </c>
      <c r="B76" s="209"/>
      <c r="C76" s="211"/>
      <c r="D76" s="64"/>
      <c r="E76" s="65"/>
      <c r="F76" s="65"/>
      <c r="G76" s="65"/>
      <c r="H76" s="65"/>
      <c r="I76" s="65"/>
      <c r="J76" s="65"/>
      <c r="K76" s="65"/>
      <c r="L76" s="65"/>
      <c r="M76" s="65"/>
      <c r="N76" s="65"/>
      <c r="O76" s="65"/>
      <c r="P76" s="65"/>
      <c r="Q76" s="65"/>
      <c r="R76" s="65"/>
      <c r="S76" s="65"/>
      <c r="T76" s="65"/>
      <c r="U76" s="64"/>
      <c r="V76" s="65"/>
      <c r="W76" s="64"/>
      <c r="X76" s="65"/>
      <c r="Y76" s="211"/>
      <c r="Z76" s="211"/>
      <c r="AA76" s="211"/>
      <c r="AB76" s="211"/>
      <c r="AC76" s="211"/>
      <c r="AD76" s="211"/>
      <c r="AE76" s="64"/>
      <c r="AF76" s="65"/>
      <c r="AG76" s="65"/>
      <c r="AH76" s="65"/>
      <c r="AI76" s="65"/>
      <c r="AJ76" s="64"/>
      <c r="AK76" s="65"/>
      <c r="AL76" s="64"/>
      <c r="AM76" s="65"/>
      <c r="AN76" s="64"/>
      <c r="AO76" s="65"/>
      <c r="AP76" s="65"/>
      <c r="AQ76" s="64"/>
      <c r="AR76" s="65"/>
      <c r="AS76" s="65"/>
      <c r="AT76" s="65"/>
      <c r="AU76" s="64"/>
      <c r="AV76" s="65"/>
      <c r="AW76" s="64"/>
      <c r="AX76" s="65"/>
      <c r="AY76" s="64"/>
      <c r="AZ76" s="65"/>
      <c r="BA76" s="65"/>
      <c r="BB76" s="66"/>
    </row>
    <row r="77" spans="1:54" x14ac:dyDescent="0.2">
      <c r="A77" s="223" t="s">
        <v>207</v>
      </c>
      <c r="B77" s="209"/>
      <c r="C77" s="211"/>
      <c r="D77" s="64"/>
      <c r="E77" s="65"/>
      <c r="F77" s="65"/>
      <c r="G77" s="65"/>
      <c r="H77" s="65"/>
      <c r="I77" s="65"/>
      <c r="J77" s="65"/>
      <c r="K77" s="65"/>
      <c r="L77" s="65"/>
      <c r="M77" s="65"/>
      <c r="N77" s="65"/>
      <c r="O77" s="65"/>
      <c r="P77" s="65"/>
      <c r="Q77" s="65"/>
      <c r="R77" s="65"/>
      <c r="S77" s="65"/>
      <c r="T77" s="65"/>
      <c r="U77" s="64"/>
      <c r="V77" s="65"/>
      <c r="W77" s="64"/>
      <c r="X77" s="65"/>
      <c r="Y77" s="211"/>
      <c r="Z77" s="211"/>
      <c r="AA77" s="211"/>
      <c r="AB77" s="211"/>
      <c r="AC77" s="211"/>
      <c r="AD77" s="211"/>
      <c r="AE77" s="64"/>
      <c r="AF77" s="65"/>
      <c r="AG77" s="65"/>
      <c r="AH77" s="65"/>
      <c r="AI77" s="65"/>
      <c r="AJ77" s="64"/>
      <c r="AK77" s="65"/>
      <c r="AL77" s="64"/>
      <c r="AM77" s="65"/>
      <c r="AN77" s="64"/>
      <c r="AO77" s="65"/>
      <c r="AP77" s="65"/>
      <c r="AQ77" s="64"/>
      <c r="AR77" s="65"/>
      <c r="AS77" s="65"/>
      <c r="AT77" s="65"/>
      <c r="AU77" s="64"/>
      <c r="AV77" s="65"/>
      <c r="AW77" s="64"/>
      <c r="AX77" s="65"/>
      <c r="AY77" s="64"/>
      <c r="AZ77" s="65"/>
      <c r="BA77" s="65"/>
      <c r="BB77" s="66"/>
    </row>
    <row r="78" spans="1:54" x14ac:dyDescent="0.2">
      <c r="A78" s="225" t="s">
        <v>199</v>
      </c>
      <c r="B78" s="209"/>
      <c r="C78" s="211"/>
      <c r="D78" s="64"/>
      <c r="E78" s="65"/>
      <c r="F78" s="65"/>
      <c r="G78" s="65"/>
      <c r="H78" s="65"/>
      <c r="I78" s="65"/>
      <c r="J78" s="65"/>
      <c r="K78" s="65"/>
      <c r="L78" s="65"/>
      <c r="M78" s="65"/>
      <c r="N78" s="65"/>
      <c r="O78" s="65"/>
      <c r="P78" s="65"/>
      <c r="Q78" s="65"/>
      <c r="R78" s="65"/>
      <c r="S78" s="65"/>
      <c r="T78" s="65"/>
      <c r="U78" s="64"/>
      <c r="V78" s="65"/>
      <c r="W78" s="64"/>
      <c r="X78" s="65"/>
      <c r="Y78" s="211"/>
      <c r="Z78" s="211"/>
      <c r="AA78" s="211"/>
      <c r="AB78" s="211"/>
      <c r="AC78" s="211"/>
      <c r="AD78" s="211"/>
      <c r="AE78" s="64"/>
      <c r="AF78" s="65"/>
      <c r="AG78" s="65"/>
      <c r="AH78" s="65"/>
      <c r="AI78" s="65"/>
      <c r="AJ78" s="64"/>
      <c r="AK78" s="65"/>
      <c r="AL78" s="64"/>
      <c r="AM78" s="65"/>
      <c r="AN78" s="64"/>
      <c r="AO78" s="65"/>
      <c r="AP78" s="65"/>
      <c r="AQ78" s="64"/>
      <c r="AR78" s="65"/>
      <c r="AS78" s="65"/>
      <c r="AT78" s="65"/>
      <c r="AU78" s="64"/>
      <c r="AV78" s="65"/>
      <c r="AW78" s="64"/>
      <c r="AX78" s="65"/>
      <c r="AY78" s="64"/>
      <c r="AZ78" s="65"/>
      <c r="BA78" s="65"/>
      <c r="BB78" s="66"/>
    </row>
    <row r="79" spans="1:54" x14ac:dyDescent="0.2">
      <c r="A79" s="226" t="s">
        <v>200</v>
      </c>
      <c r="B79" s="209"/>
      <c r="C79" s="211"/>
      <c r="D79" s="64"/>
      <c r="E79" s="65"/>
      <c r="F79" s="65"/>
      <c r="G79" s="65"/>
      <c r="H79" s="65"/>
      <c r="I79" s="65"/>
      <c r="J79" s="65"/>
      <c r="K79" s="65"/>
      <c r="L79" s="65"/>
      <c r="M79" s="65"/>
      <c r="N79" s="65"/>
      <c r="O79" s="65"/>
      <c r="P79" s="65"/>
      <c r="Q79" s="65"/>
      <c r="R79" s="65"/>
      <c r="S79" s="65"/>
      <c r="T79" s="65"/>
      <c r="U79" s="64"/>
      <c r="V79" s="65"/>
      <c r="W79" s="64"/>
      <c r="X79" s="65"/>
      <c r="Y79" s="211"/>
      <c r="Z79" s="211"/>
      <c r="AA79" s="211"/>
      <c r="AB79" s="211"/>
      <c r="AC79" s="211"/>
      <c r="AD79" s="211"/>
      <c r="AE79" s="64"/>
      <c r="AF79" s="65"/>
      <c r="AG79" s="65"/>
      <c r="AH79" s="65"/>
      <c r="AI79" s="65"/>
      <c r="AJ79" s="64"/>
      <c r="AK79" s="65"/>
      <c r="AL79" s="64"/>
      <c r="AM79" s="65"/>
      <c r="AN79" s="64"/>
      <c r="AO79" s="65"/>
      <c r="AP79" s="65"/>
      <c r="AQ79" s="64"/>
      <c r="AR79" s="65"/>
      <c r="AS79" s="65"/>
      <c r="AT79" s="65"/>
      <c r="AU79" s="64"/>
      <c r="AV79" s="65"/>
      <c r="AW79" s="64"/>
      <c r="AX79" s="65"/>
      <c r="AY79" s="64"/>
      <c r="AZ79" s="65"/>
      <c r="BA79" s="65"/>
      <c r="BB79" s="66"/>
    </row>
    <row r="80" spans="1:54" x14ac:dyDescent="0.2">
      <c r="A80" s="225" t="s">
        <v>201</v>
      </c>
      <c r="B80" s="209"/>
      <c r="C80" s="211"/>
      <c r="D80" s="64"/>
      <c r="E80" s="65"/>
      <c r="F80" s="65"/>
      <c r="G80" s="65"/>
      <c r="H80" s="65"/>
      <c r="I80" s="65"/>
      <c r="J80" s="65"/>
      <c r="K80" s="65"/>
      <c r="L80" s="65"/>
      <c r="M80" s="65"/>
      <c r="N80" s="65"/>
      <c r="O80" s="65"/>
      <c r="P80" s="65"/>
      <c r="Q80" s="65"/>
      <c r="R80" s="65"/>
      <c r="S80" s="65"/>
      <c r="T80" s="65"/>
      <c r="U80" s="64"/>
      <c r="V80" s="65"/>
      <c r="W80" s="64"/>
      <c r="X80" s="65"/>
      <c r="Y80" s="211"/>
      <c r="Z80" s="211"/>
      <c r="AA80" s="211"/>
      <c r="AB80" s="211"/>
      <c r="AC80" s="211"/>
      <c r="AD80" s="211"/>
      <c r="AE80" s="64"/>
      <c r="AF80" s="65"/>
      <c r="AG80" s="65"/>
      <c r="AH80" s="65"/>
      <c r="AI80" s="65"/>
      <c r="AJ80" s="64"/>
      <c r="AK80" s="65"/>
      <c r="AL80" s="64"/>
      <c r="AM80" s="65"/>
      <c r="AN80" s="64"/>
      <c r="AO80" s="65"/>
      <c r="AP80" s="65"/>
      <c r="AQ80" s="64"/>
      <c r="AR80" s="65"/>
      <c r="AS80" s="65"/>
      <c r="AT80" s="65"/>
      <c r="AU80" s="64"/>
      <c r="AV80" s="65"/>
      <c r="AW80" s="64"/>
      <c r="AX80" s="65"/>
      <c r="AY80" s="64"/>
      <c r="AZ80" s="65"/>
      <c r="BA80" s="65"/>
      <c r="BB80" s="66"/>
    </row>
    <row r="81" spans="1:54" x14ac:dyDescent="0.2">
      <c r="A81" s="227" t="s">
        <v>208</v>
      </c>
      <c r="B81" s="209"/>
      <c r="C81" s="211"/>
      <c r="D81" s="64"/>
      <c r="E81" s="65"/>
      <c r="F81" s="65"/>
      <c r="G81" s="65"/>
      <c r="H81" s="65"/>
      <c r="I81" s="65"/>
      <c r="J81" s="65"/>
      <c r="K81" s="65"/>
      <c r="L81" s="65"/>
      <c r="M81" s="65"/>
      <c r="N81" s="65"/>
      <c r="O81" s="65"/>
      <c r="P81" s="65"/>
      <c r="Q81" s="65"/>
      <c r="R81" s="65"/>
      <c r="S81" s="65"/>
      <c r="T81" s="65"/>
      <c r="U81" s="64"/>
      <c r="V81" s="65"/>
      <c r="W81" s="64"/>
      <c r="X81" s="65"/>
      <c r="Y81" s="211"/>
      <c r="Z81" s="211"/>
      <c r="AA81" s="211"/>
      <c r="AB81" s="211"/>
      <c r="AC81" s="211"/>
      <c r="AD81" s="211"/>
      <c r="AE81" s="64"/>
      <c r="AF81" s="65"/>
      <c r="AG81" s="65"/>
      <c r="AH81" s="65"/>
      <c r="AI81" s="65"/>
      <c r="AJ81" s="64"/>
      <c r="AK81" s="65"/>
      <c r="AL81" s="64"/>
      <c r="AM81" s="65"/>
      <c r="AN81" s="64"/>
      <c r="AO81" s="65"/>
      <c r="AP81" s="65"/>
      <c r="AQ81" s="64"/>
      <c r="AR81" s="65"/>
      <c r="AS81" s="65"/>
      <c r="AT81" s="65"/>
      <c r="AU81" s="64"/>
      <c r="AV81" s="65"/>
      <c r="AW81" s="64"/>
      <c r="AX81" s="65"/>
      <c r="AY81" s="64"/>
      <c r="AZ81" s="65"/>
      <c r="BA81" s="65"/>
      <c r="BB81" s="66"/>
    </row>
    <row r="82" spans="1:54" x14ac:dyDescent="0.2">
      <c r="A82" s="223" t="s">
        <v>186</v>
      </c>
      <c r="B82" s="209"/>
      <c r="C82" s="211"/>
      <c r="D82" s="64"/>
      <c r="E82" s="65"/>
      <c r="F82" s="65"/>
      <c r="G82" s="65"/>
      <c r="H82" s="65"/>
      <c r="I82" s="65"/>
      <c r="J82" s="65"/>
      <c r="K82" s="65"/>
      <c r="L82" s="65"/>
      <c r="M82" s="65"/>
      <c r="N82" s="65"/>
      <c r="O82" s="65"/>
      <c r="P82" s="65"/>
      <c r="Q82" s="65"/>
      <c r="R82" s="65"/>
      <c r="S82" s="65"/>
      <c r="T82" s="65"/>
      <c r="U82" s="64"/>
      <c r="V82" s="65"/>
      <c r="W82" s="64"/>
      <c r="X82" s="65"/>
      <c r="Y82" s="211"/>
      <c r="Z82" s="211"/>
      <c r="AA82" s="211"/>
      <c r="AB82" s="211"/>
      <c r="AC82" s="211"/>
      <c r="AD82" s="211"/>
      <c r="AE82" s="64"/>
      <c r="AF82" s="65"/>
      <c r="AG82" s="65"/>
      <c r="AH82" s="65"/>
      <c r="AI82" s="65"/>
      <c r="AJ82" s="64"/>
      <c r="AK82" s="65"/>
      <c r="AL82" s="64"/>
      <c r="AM82" s="65"/>
      <c r="AN82" s="64"/>
      <c r="AO82" s="65"/>
      <c r="AP82" s="65"/>
      <c r="AQ82" s="64"/>
      <c r="AR82" s="65"/>
      <c r="AS82" s="65"/>
      <c r="AT82" s="65"/>
      <c r="AU82" s="64"/>
      <c r="AV82" s="65"/>
      <c r="AW82" s="64"/>
      <c r="AX82" s="65"/>
      <c r="AY82" s="64"/>
      <c r="AZ82" s="65"/>
      <c r="BA82" s="65"/>
      <c r="BB82" s="66"/>
    </row>
    <row r="83" spans="1:54" x14ac:dyDescent="0.2">
      <c r="A83" s="207" t="s">
        <v>187</v>
      </c>
      <c r="B83" s="209"/>
      <c r="C83" s="211"/>
      <c r="D83" s="64"/>
      <c r="E83" s="65"/>
      <c r="F83" s="65"/>
      <c r="G83" s="65"/>
      <c r="H83" s="65"/>
      <c r="I83" s="65"/>
      <c r="J83" s="65"/>
      <c r="K83" s="65"/>
      <c r="L83" s="65"/>
      <c r="M83" s="65"/>
      <c r="N83" s="65"/>
      <c r="O83" s="65"/>
      <c r="P83" s="65"/>
      <c r="Q83" s="65"/>
      <c r="R83" s="65"/>
      <c r="S83" s="65"/>
      <c r="T83" s="65"/>
      <c r="U83" s="64"/>
      <c r="V83" s="65"/>
      <c r="W83" s="64"/>
      <c r="X83" s="65"/>
      <c r="Y83" s="211"/>
      <c r="Z83" s="211"/>
      <c r="AA83" s="211"/>
      <c r="AB83" s="211"/>
      <c r="AC83" s="211"/>
      <c r="AD83" s="211"/>
      <c r="AE83" s="64"/>
      <c r="AF83" s="65"/>
      <c r="AG83" s="65"/>
      <c r="AH83" s="65"/>
      <c r="AI83" s="65"/>
      <c r="AJ83" s="64"/>
      <c r="AK83" s="65"/>
      <c r="AL83" s="64"/>
      <c r="AM83" s="65"/>
      <c r="AN83" s="64"/>
      <c r="AO83" s="65"/>
      <c r="AP83" s="65"/>
      <c r="AQ83" s="64"/>
      <c r="AR83" s="65"/>
      <c r="AS83" s="65"/>
      <c r="AT83" s="65"/>
      <c r="AU83" s="64"/>
      <c r="AV83" s="65"/>
      <c r="AW83" s="64"/>
      <c r="AX83" s="65"/>
      <c r="AY83" s="64"/>
      <c r="AZ83" s="65"/>
      <c r="BA83" s="65"/>
      <c r="BB83" s="66"/>
    </row>
    <row r="84" spans="1:54" x14ac:dyDescent="0.2">
      <c r="A84" s="207" t="s">
        <v>188</v>
      </c>
      <c r="B84" s="209"/>
      <c r="C84" s="211"/>
      <c r="D84" s="64"/>
      <c r="E84" s="65"/>
      <c r="F84" s="65"/>
      <c r="G84" s="65"/>
      <c r="H84" s="65"/>
      <c r="I84" s="65"/>
      <c r="J84" s="65"/>
      <c r="K84" s="65"/>
      <c r="L84" s="65"/>
      <c r="M84" s="65"/>
      <c r="N84" s="65"/>
      <c r="O84" s="65"/>
      <c r="P84" s="65"/>
      <c r="Q84" s="65"/>
      <c r="R84" s="65"/>
      <c r="S84" s="65"/>
      <c r="T84" s="65"/>
      <c r="U84" s="64"/>
      <c r="V84" s="65"/>
      <c r="W84" s="64"/>
      <c r="X84" s="65"/>
      <c r="Y84" s="211"/>
      <c r="Z84" s="211"/>
      <c r="AA84" s="211"/>
      <c r="AB84" s="211"/>
      <c r="AC84" s="211"/>
      <c r="AD84" s="211"/>
      <c r="AE84" s="64"/>
      <c r="AF84" s="65"/>
      <c r="AG84" s="65"/>
      <c r="AH84" s="65"/>
      <c r="AI84" s="65"/>
      <c r="AJ84" s="64"/>
      <c r="AK84" s="65"/>
      <c r="AL84" s="64"/>
      <c r="AM84" s="65"/>
      <c r="AN84" s="64"/>
      <c r="AO84" s="65"/>
      <c r="AP84" s="65"/>
      <c r="AQ84" s="64"/>
      <c r="AR84" s="65"/>
      <c r="AS84" s="65"/>
      <c r="AT84" s="65"/>
      <c r="AU84" s="64"/>
      <c r="AV84" s="65"/>
      <c r="AW84" s="64"/>
      <c r="AX84" s="65"/>
      <c r="AY84" s="64"/>
      <c r="AZ84" s="65"/>
      <c r="BA84" s="65"/>
      <c r="BB84" s="66"/>
    </row>
    <row r="85" spans="1:54" x14ac:dyDescent="0.2">
      <c r="A85" s="212" t="s">
        <v>189</v>
      </c>
      <c r="B85" s="209"/>
      <c r="C85" s="211"/>
      <c r="D85" s="64"/>
      <c r="E85" s="65"/>
      <c r="F85" s="65"/>
      <c r="G85" s="65"/>
      <c r="H85" s="65"/>
      <c r="I85" s="65"/>
      <c r="J85" s="65"/>
      <c r="K85" s="65"/>
      <c r="L85" s="65"/>
      <c r="M85" s="65"/>
      <c r="N85" s="65"/>
      <c r="O85" s="65"/>
      <c r="P85" s="65"/>
      <c r="Q85" s="65"/>
      <c r="R85" s="65"/>
      <c r="S85" s="65"/>
      <c r="T85" s="65"/>
      <c r="U85" s="64"/>
      <c r="V85" s="65"/>
      <c r="W85" s="64"/>
      <c r="X85" s="65"/>
      <c r="Y85" s="211"/>
      <c r="Z85" s="211"/>
      <c r="AA85" s="211"/>
      <c r="AB85" s="211"/>
      <c r="AC85" s="211"/>
      <c r="AD85" s="211"/>
      <c r="AE85" s="64"/>
      <c r="AF85" s="65"/>
      <c r="AG85" s="65"/>
      <c r="AH85" s="65"/>
      <c r="AI85" s="65"/>
      <c r="AJ85" s="64"/>
      <c r="AK85" s="65"/>
      <c r="AL85" s="64"/>
      <c r="AM85" s="65"/>
      <c r="AN85" s="64"/>
      <c r="AO85" s="65"/>
      <c r="AP85" s="65"/>
      <c r="AQ85" s="64"/>
      <c r="AR85" s="65"/>
      <c r="AS85" s="65"/>
      <c r="AT85" s="65"/>
      <c r="AU85" s="64"/>
      <c r="AV85" s="65"/>
      <c r="AW85" s="64"/>
      <c r="AX85" s="65"/>
      <c r="AY85" s="64"/>
      <c r="AZ85" s="65"/>
      <c r="BA85" s="65"/>
      <c r="BB85" s="66"/>
    </row>
    <row r="86" spans="1:54" x14ac:dyDescent="0.2">
      <c r="A86" s="207" t="s">
        <v>190</v>
      </c>
      <c r="B86" s="209"/>
      <c r="C86" s="211"/>
      <c r="D86" s="64"/>
      <c r="E86" s="65"/>
      <c r="F86" s="65"/>
      <c r="G86" s="65"/>
      <c r="H86" s="65"/>
      <c r="I86" s="65"/>
      <c r="J86" s="65"/>
      <c r="K86" s="65"/>
      <c r="L86" s="65"/>
      <c r="M86" s="65"/>
      <c r="N86" s="65"/>
      <c r="O86" s="65"/>
      <c r="P86" s="65"/>
      <c r="Q86" s="65"/>
      <c r="R86" s="65"/>
      <c r="S86" s="65"/>
      <c r="T86" s="65"/>
      <c r="U86" s="64"/>
      <c r="V86" s="65"/>
      <c r="W86" s="64"/>
      <c r="X86" s="65"/>
      <c r="Y86" s="211"/>
      <c r="Z86" s="211"/>
      <c r="AA86" s="211"/>
      <c r="AB86" s="211"/>
      <c r="AC86" s="211"/>
      <c r="AD86" s="211"/>
      <c r="AE86" s="64"/>
      <c r="AF86" s="65"/>
      <c r="AG86" s="65"/>
      <c r="AH86" s="65"/>
      <c r="AI86" s="65"/>
      <c r="AJ86" s="64"/>
      <c r="AK86" s="65"/>
      <c r="AL86" s="64"/>
      <c r="AM86" s="65"/>
      <c r="AN86" s="64"/>
      <c r="AO86" s="65"/>
      <c r="AP86" s="65"/>
      <c r="AQ86" s="64"/>
      <c r="AR86" s="65"/>
      <c r="AS86" s="65"/>
      <c r="AT86" s="65"/>
      <c r="AU86" s="64"/>
      <c r="AV86" s="65"/>
      <c r="AW86" s="64"/>
      <c r="AX86" s="65"/>
      <c r="AY86" s="64"/>
      <c r="AZ86" s="65"/>
      <c r="BA86" s="65"/>
      <c r="BB86" s="66"/>
    </row>
    <row r="87" spans="1:54" ht="15" x14ac:dyDescent="0.25">
      <c r="A87" s="228" t="s">
        <v>202</v>
      </c>
      <c r="B87" s="209"/>
      <c r="C87" s="211"/>
      <c r="D87" s="64"/>
      <c r="E87" s="65"/>
      <c r="F87" s="65"/>
      <c r="G87" s="65"/>
      <c r="H87" s="65"/>
      <c r="I87" s="65"/>
      <c r="J87" s="65"/>
      <c r="K87" s="65"/>
      <c r="L87" s="65"/>
      <c r="M87" s="65"/>
      <c r="N87" s="65"/>
      <c r="O87" s="65"/>
      <c r="P87" s="65"/>
      <c r="Q87" s="65"/>
      <c r="R87" s="65"/>
      <c r="S87" s="65"/>
      <c r="T87" s="65"/>
      <c r="U87" s="64"/>
      <c r="V87" s="65"/>
      <c r="W87" s="64"/>
      <c r="X87" s="65"/>
      <c r="Y87" s="211"/>
      <c r="Z87" s="211"/>
      <c r="AA87" s="211"/>
      <c r="AB87" s="211"/>
      <c r="AC87" s="211"/>
      <c r="AD87" s="211"/>
      <c r="AE87" s="64"/>
      <c r="AF87" s="65"/>
      <c r="AG87" s="65"/>
      <c r="AH87" s="65"/>
      <c r="AI87" s="65"/>
      <c r="AJ87" s="64"/>
      <c r="AK87" s="65"/>
      <c r="AL87" s="64"/>
      <c r="AM87" s="65"/>
      <c r="AN87" s="64"/>
      <c r="AO87" s="65"/>
      <c r="AP87" s="65"/>
      <c r="AQ87" s="64"/>
      <c r="AR87" s="65"/>
      <c r="AS87" s="65"/>
      <c r="AT87" s="65"/>
      <c r="AU87" s="64"/>
      <c r="AV87" s="65"/>
      <c r="AW87" s="64"/>
      <c r="AX87" s="65"/>
      <c r="AY87" s="64"/>
      <c r="AZ87" s="65"/>
      <c r="BA87" s="65"/>
      <c r="BB87" s="66"/>
    </row>
    <row r="88" spans="1:54" x14ac:dyDescent="0.2">
      <c r="A88" s="213" t="s">
        <v>141</v>
      </c>
      <c r="B88" s="214"/>
      <c r="C88" s="214"/>
      <c r="D88" s="67"/>
      <c r="E88" s="68"/>
      <c r="F88" s="68"/>
      <c r="G88" s="68"/>
      <c r="H88" s="68"/>
      <c r="I88" s="68"/>
      <c r="J88" s="68"/>
      <c r="K88" s="68"/>
      <c r="L88" s="68"/>
      <c r="M88" s="68"/>
      <c r="N88" s="68"/>
      <c r="O88" s="68"/>
      <c r="P88" s="68"/>
      <c r="Q88" s="68"/>
      <c r="R88" s="68"/>
      <c r="S88" s="68"/>
      <c r="T88" s="68"/>
      <c r="U88" s="67"/>
      <c r="V88" s="68"/>
      <c r="W88" s="67"/>
      <c r="X88" s="68"/>
      <c r="Y88" s="214"/>
      <c r="Z88" s="214"/>
      <c r="AA88" s="214"/>
      <c r="AB88" s="214"/>
      <c r="AC88" s="214"/>
      <c r="AD88" s="214"/>
      <c r="AE88" s="67"/>
      <c r="AF88" s="68"/>
      <c r="AG88" s="68"/>
      <c r="AH88" s="68"/>
      <c r="AI88" s="68"/>
      <c r="AJ88" s="67"/>
      <c r="AK88" s="68"/>
      <c r="AL88" s="67"/>
      <c r="AM88" s="68"/>
      <c r="AN88" s="67"/>
      <c r="AO88" s="68"/>
      <c r="AP88" s="68"/>
      <c r="AQ88" s="67"/>
      <c r="AR88" s="68"/>
      <c r="AS88" s="68"/>
      <c r="AT88" s="68"/>
      <c r="AU88" s="67"/>
      <c r="AV88" s="68"/>
      <c r="AW88" s="67"/>
      <c r="AX88" s="68"/>
      <c r="AY88" s="67"/>
      <c r="AZ88" s="68"/>
      <c r="BA88" s="68"/>
      <c r="BB88" s="69"/>
    </row>
    <row r="89" spans="1:54" x14ac:dyDescent="0.2">
      <c r="A89" s="207" t="s">
        <v>156</v>
      </c>
      <c r="B89" s="211"/>
      <c r="C89" s="211"/>
      <c r="D89" s="64"/>
      <c r="E89" s="65"/>
      <c r="F89" s="65"/>
      <c r="G89" s="65"/>
      <c r="H89" s="65"/>
      <c r="I89" s="65"/>
      <c r="J89" s="65"/>
      <c r="K89" s="65"/>
      <c r="L89" s="65"/>
      <c r="M89" s="65"/>
      <c r="N89" s="65"/>
      <c r="O89" s="65"/>
      <c r="P89" s="65"/>
      <c r="Q89" s="65"/>
      <c r="R89" s="65"/>
      <c r="S89" s="65"/>
      <c r="T89" s="65"/>
      <c r="U89" s="64"/>
      <c r="V89" s="65"/>
      <c r="W89" s="64"/>
      <c r="X89" s="65"/>
      <c r="Y89" s="211"/>
      <c r="Z89" s="211"/>
      <c r="AA89" s="211"/>
      <c r="AB89" s="211"/>
      <c r="AC89" s="211"/>
      <c r="AD89" s="211"/>
      <c r="AE89" s="64"/>
      <c r="AF89" s="65"/>
      <c r="AG89" s="65"/>
      <c r="AH89" s="65"/>
      <c r="AI89" s="65"/>
      <c r="AJ89" s="64"/>
      <c r="AK89" s="65"/>
      <c r="AL89" s="64"/>
      <c r="AM89" s="65"/>
      <c r="AN89" s="64"/>
      <c r="AO89" s="65"/>
      <c r="AP89" s="65"/>
      <c r="AQ89" s="64"/>
      <c r="AR89" s="65"/>
      <c r="AS89" s="65"/>
      <c r="AT89" s="65"/>
      <c r="AU89" s="64"/>
      <c r="AV89" s="65"/>
      <c r="AW89" s="64"/>
      <c r="AX89" s="65"/>
      <c r="AY89" s="64"/>
      <c r="AZ89" s="65"/>
      <c r="BA89" s="65"/>
      <c r="BB89" s="66"/>
    </row>
    <row r="90" spans="1:54" x14ac:dyDescent="0.2">
      <c r="A90" s="215" t="s">
        <v>142</v>
      </c>
      <c r="B90" s="214"/>
      <c r="C90" s="214"/>
      <c r="D90" s="67"/>
      <c r="E90" s="68"/>
      <c r="F90" s="68"/>
      <c r="G90" s="68"/>
      <c r="H90" s="68"/>
      <c r="I90" s="68"/>
      <c r="J90" s="68"/>
      <c r="K90" s="68"/>
      <c r="L90" s="68"/>
      <c r="M90" s="68"/>
      <c r="N90" s="68"/>
      <c r="O90" s="68"/>
      <c r="P90" s="68"/>
      <c r="Q90" s="68"/>
      <c r="R90" s="68"/>
      <c r="S90" s="68"/>
      <c r="T90" s="68"/>
      <c r="U90" s="67"/>
      <c r="V90" s="68"/>
      <c r="W90" s="67"/>
      <c r="X90" s="68"/>
      <c r="Y90" s="214"/>
      <c r="Z90" s="214"/>
      <c r="AA90" s="214"/>
      <c r="AB90" s="214"/>
      <c r="AC90" s="214"/>
      <c r="AD90" s="214"/>
      <c r="AE90" s="67"/>
      <c r="AF90" s="68"/>
      <c r="AG90" s="68"/>
      <c r="AH90" s="68"/>
      <c r="AI90" s="68"/>
      <c r="AJ90" s="67"/>
      <c r="AK90" s="68"/>
      <c r="AL90" s="67"/>
      <c r="AM90" s="68"/>
      <c r="AN90" s="67"/>
      <c r="AO90" s="68"/>
      <c r="AP90" s="68"/>
      <c r="AQ90" s="67"/>
      <c r="AR90" s="68"/>
      <c r="AS90" s="68"/>
      <c r="AT90" s="68"/>
      <c r="AU90" s="67"/>
      <c r="AV90" s="68"/>
      <c r="AW90" s="67"/>
      <c r="AX90" s="68"/>
      <c r="AY90" s="67"/>
      <c r="AZ90" s="68"/>
      <c r="BA90" s="68"/>
      <c r="BB90" s="69"/>
    </row>
    <row r="91" spans="1:54" s="229" customFormat="1" x14ac:dyDescent="0.2">
      <c r="A91" s="216" t="s">
        <v>149</v>
      </c>
      <c r="B91" s="217"/>
      <c r="C91" s="217"/>
      <c r="D91" s="122"/>
      <c r="E91" s="123"/>
      <c r="F91" s="122"/>
      <c r="G91" s="123"/>
      <c r="H91" s="122"/>
      <c r="I91" s="123"/>
      <c r="J91" s="123"/>
      <c r="K91" s="123"/>
      <c r="L91" s="123"/>
      <c r="M91" s="123"/>
      <c r="N91" s="123"/>
      <c r="O91" s="123"/>
      <c r="P91" s="123"/>
      <c r="Q91" s="122"/>
      <c r="R91" s="123"/>
      <c r="S91" s="123"/>
      <c r="T91" s="123"/>
      <c r="U91" s="122"/>
      <c r="V91" s="123"/>
      <c r="W91" s="122"/>
      <c r="X91" s="123"/>
      <c r="Y91" s="217"/>
      <c r="Z91" s="217"/>
      <c r="AA91" s="217"/>
      <c r="AB91" s="217"/>
      <c r="AC91" s="217"/>
      <c r="AD91" s="217"/>
      <c r="AE91" s="122"/>
      <c r="AF91" s="123"/>
      <c r="AG91" s="123"/>
      <c r="AH91" s="123"/>
      <c r="AI91" s="123"/>
      <c r="AJ91" s="122"/>
      <c r="AK91" s="123"/>
      <c r="AL91" s="122"/>
      <c r="AM91" s="123"/>
      <c r="AN91" s="122"/>
      <c r="AO91" s="123"/>
      <c r="AP91" s="123"/>
      <c r="AQ91" s="122"/>
      <c r="AR91" s="123"/>
      <c r="AS91" s="123"/>
      <c r="AT91" s="123"/>
      <c r="AU91" s="122"/>
      <c r="AV91" s="123"/>
      <c r="AW91" s="122"/>
      <c r="AX91" s="123"/>
      <c r="AY91" s="122"/>
      <c r="AZ91" s="123"/>
      <c r="BA91" s="123"/>
      <c r="BB91" s="124"/>
    </row>
    <row r="92" spans="1:54" s="229" customFormat="1" x14ac:dyDescent="0.2">
      <c r="A92" s="218" t="s">
        <v>150</v>
      </c>
      <c r="B92" s="217"/>
      <c r="C92" s="217"/>
      <c r="D92" s="122"/>
      <c r="E92" s="123"/>
      <c r="F92" s="122"/>
      <c r="G92" s="123"/>
      <c r="H92" s="122"/>
      <c r="I92" s="123"/>
      <c r="J92" s="123"/>
      <c r="K92" s="123"/>
      <c r="L92" s="123"/>
      <c r="M92" s="123"/>
      <c r="N92" s="123"/>
      <c r="O92" s="123"/>
      <c r="P92" s="123"/>
      <c r="Q92" s="122"/>
      <c r="R92" s="123"/>
      <c r="S92" s="123"/>
      <c r="T92" s="123"/>
      <c r="U92" s="122"/>
      <c r="V92" s="123"/>
      <c r="W92" s="122"/>
      <c r="X92" s="123"/>
      <c r="Y92" s="217"/>
      <c r="Z92" s="217"/>
      <c r="AA92" s="217"/>
      <c r="AB92" s="217"/>
      <c r="AC92" s="217"/>
      <c r="AD92" s="217"/>
      <c r="AE92" s="122"/>
      <c r="AF92" s="123"/>
      <c r="AG92" s="123"/>
      <c r="AH92" s="123"/>
      <c r="AI92" s="123"/>
      <c r="AJ92" s="122"/>
      <c r="AK92" s="123"/>
      <c r="AL92" s="122"/>
      <c r="AM92" s="123"/>
      <c r="AN92" s="122"/>
      <c r="AO92" s="123"/>
      <c r="AP92" s="123"/>
      <c r="AQ92" s="122"/>
      <c r="AR92" s="123"/>
      <c r="AS92" s="123"/>
      <c r="AT92" s="123"/>
      <c r="AU92" s="122"/>
      <c r="AV92" s="123"/>
      <c r="AW92" s="122"/>
      <c r="AX92" s="123"/>
      <c r="AY92" s="122"/>
      <c r="AZ92" s="123"/>
      <c r="BA92" s="123"/>
      <c r="BB92" s="124"/>
    </row>
    <row r="93" spans="1:54" s="229" customFormat="1" x14ac:dyDescent="0.2">
      <c r="A93" s="230" t="s">
        <v>209</v>
      </c>
      <c r="B93" s="217"/>
      <c r="C93" s="217"/>
      <c r="D93" s="122"/>
      <c r="E93" s="123"/>
      <c r="F93" s="122"/>
      <c r="G93" s="123"/>
      <c r="H93" s="122"/>
      <c r="I93" s="123"/>
      <c r="J93" s="123"/>
      <c r="K93" s="123"/>
      <c r="L93" s="123"/>
      <c r="M93" s="123"/>
      <c r="N93" s="123"/>
      <c r="O93" s="123"/>
      <c r="P93" s="123"/>
      <c r="Q93" s="122"/>
      <c r="R93" s="123"/>
      <c r="S93" s="123"/>
      <c r="T93" s="123"/>
      <c r="U93" s="122"/>
      <c r="V93" s="123"/>
      <c r="W93" s="122"/>
      <c r="X93" s="123"/>
      <c r="Y93" s="217"/>
      <c r="Z93" s="217"/>
      <c r="AA93" s="217"/>
      <c r="AB93" s="217"/>
      <c r="AC93" s="217"/>
      <c r="AD93" s="217"/>
      <c r="AE93" s="122"/>
      <c r="AF93" s="123"/>
      <c r="AG93" s="123"/>
      <c r="AH93" s="123"/>
      <c r="AI93" s="123"/>
      <c r="AJ93" s="122"/>
      <c r="AK93" s="123"/>
      <c r="AL93" s="122"/>
      <c r="AM93" s="123"/>
      <c r="AN93" s="122"/>
      <c r="AO93" s="123"/>
      <c r="AP93" s="123"/>
      <c r="AQ93" s="122"/>
      <c r="AR93" s="123"/>
      <c r="AS93" s="123"/>
      <c r="AT93" s="123"/>
      <c r="AU93" s="122"/>
      <c r="AV93" s="123"/>
      <c r="AW93" s="122"/>
      <c r="AX93" s="123"/>
      <c r="AY93" s="122"/>
      <c r="AZ93" s="123"/>
      <c r="BA93" s="123"/>
      <c r="BB93" s="124"/>
    </row>
    <row r="94" spans="1:54" s="236" customFormat="1" x14ac:dyDescent="0.2">
      <c r="A94" s="231" t="s">
        <v>203</v>
      </c>
      <c r="B94" s="232"/>
      <c r="C94" s="232"/>
      <c r="D94" s="233"/>
      <c r="E94" s="234"/>
      <c r="F94" s="233"/>
      <c r="G94" s="234"/>
      <c r="H94" s="233"/>
      <c r="I94" s="234"/>
      <c r="J94" s="234"/>
      <c r="K94" s="234"/>
      <c r="L94" s="234"/>
      <c r="M94" s="234"/>
      <c r="N94" s="234"/>
      <c r="O94" s="234"/>
      <c r="P94" s="234"/>
      <c r="Q94" s="233"/>
      <c r="R94" s="234"/>
      <c r="S94" s="234"/>
      <c r="T94" s="234"/>
      <c r="U94" s="233"/>
      <c r="V94" s="234"/>
      <c r="W94" s="233"/>
      <c r="X94" s="234"/>
      <c r="Y94" s="232"/>
      <c r="Z94" s="232"/>
      <c r="AA94" s="232"/>
      <c r="AB94" s="232"/>
      <c r="AC94" s="232"/>
      <c r="AD94" s="232"/>
      <c r="AE94" s="233"/>
      <c r="AF94" s="234"/>
      <c r="AG94" s="234"/>
      <c r="AH94" s="234"/>
      <c r="AI94" s="234"/>
      <c r="AJ94" s="233"/>
      <c r="AK94" s="234"/>
      <c r="AL94" s="233"/>
      <c r="AM94" s="234"/>
      <c r="AN94" s="233"/>
      <c r="AO94" s="234"/>
      <c r="AP94" s="234"/>
      <c r="AQ94" s="233"/>
      <c r="AR94" s="234"/>
      <c r="AS94" s="234"/>
      <c r="AT94" s="234"/>
      <c r="AU94" s="233"/>
      <c r="AV94" s="234"/>
      <c r="AW94" s="233"/>
      <c r="AX94" s="234"/>
      <c r="AY94" s="233"/>
      <c r="AZ94" s="234"/>
      <c r="BA94" s="234"/>
      <c r="BB94" s="235"/>
    </row>
    <row r="95" spans="1:54" s="229" customFormat="1" x14ac:dyDescent="0.2">
      <c r="A95" s="237" t="s">
        <v>191</v>
      </c>
      <c r="B95" s="217"/>
      <c r="C95" s="217"/>
      <c r="D95" s="122"/>
      <c r="E95" s="123"/>
      <c r="F95" s="122"/>
      <c r="G95" s="123"/>
      <c r="H95" s="122"/>
      <c r="I95" s="123"/>
      <c r="J95" s="123"/>
      <c r="K95" s="123"/>
      <c r="L95" s="123"/>
      <c r="M95" s="123"/>
      <c r="N95" s="123"/>
      <c r="O95" s="123"/>
      <c r="P95" s="123"/>
      <c r="Q95" s="122"/>
      <c r="R95" s="123"/>
      <c r="S95" s="123"/>
      <c r="T95" s="123"/>
      <c r="U95" s="122"/>
      <c r="V95" s="123"/>
      <c r="W95" s="122"/>
      <c r="X95" s="123"/>
      <c r="Y95" s="217"/>
      <c r="Z95" s="217"/>
      <c r="AA95" s="217"/>
      <c r="AB95" s="217"/>
      <c r="AC95" s="217"/>
      <c r="AD95" s="217"/>
      <c r="AE95" s="122"/>
      <c r="AF95" s="123"/>
      <c r="AG95" s="123"/>
      <c r="AH95" s="123"/>
      <c r="AI95" s="123"/>
      <c r="AJ95" s="122"/>
      <c r="AK95" s="123"/>
      <c r="AL95" s="122"/>
      <c r="AM95" s="123"/>
      <c r="AN95" s="122"/>
      <c r="AO95" s="123"/>
      <c r="AP95" s="123"/>
      <c r="AQ95" s="122"/>
      <c r="AR95" s="123"/>
      <c r="AS95" s="123"/>
      <c r="AT95" s="123"/>
      <c r="AU95" s="122"/>
      <c r="AV95" s="123"/>
      <c r="AW95" s="122"/>
      <c r="AX95" s="123"/>
      <c r="AY95" s="122"/>
      <c r="AZ95" s="123"/>
      <c r="BA95" s="123"/>
      <c r="BB95" s="124"/>
    </row>
    <row r="96" spans="1:54" s="238" customFormat="1" x14ac:dyDescent="0.2">
      <c r="A96" s="213"/>
      <c r="B96" s="214"/>
      <c r="C96" s="214"/>
      <c r="D96" s="67"/>
      <c r="E96" s="68"/>
      <c r="F96" s="67"/>
      <c r="G96" s="68"/>
      <c r="H96" s="67"/>
      <c r="I96" s="68"/>
      <c r="J96" s="68"/>
      <c r="K96" s="68"/>
      <c r="L96" s="68"/>
      <c r="M96" s="68"/>
      <c r="N96" s="68"/>
      <c r="O96" s="68"/>
      <c r="P96" s="68"/>
      <c r="Q96" s="67"/>
      <c r="R96" s="68"/>
      <c r="S96" s="68"/>
      <c r="T96" s="68"/>
      <c r="U96" s="67"/>
      <c r="V96" s="68"/>
      <c r="W96" s="67"/>
      <c r="X96" s="68"/>
      <c r="Y96" s="214"/>
      <c r="Z96" s="214"/>
      <c r="AA96" s="214"/>
      <c r="AB96" s="214"/>
      <c r="AC96" s="214"/>
      <c r="AD96" s="214"/>
      <c r="AE96" s="67"/>
      <c r="AF96" s="68"/>
      <c r="AG96" s="68"/>
      <c r="AH96" s="68"/>
      <c r="AI96" s="68"/>
      <c r="AJ96" s="67"/>
      <c r="AK96" s="68"/>
      <c r="AL96" s="67"/>
      <c r="AM96" s="68"/>
      <c r="AN96" s="67"/>
      <c r="AO96" s="68"/>
      <c r="AP96" s="68"/>
      <c r="AQ96" s="67"/>
      <c r="AR96" s="68"/>
      <c r="AS96" s="68"/>
      <c r="AT96" s="68"/>
      <c r="AU96" s="67"/>
      <c r="AV96" s="68"/>
      <c r="AW96" s="67"/>
      <c r="AX96" s="68"/>
      <c r="AY96" s="67"/>
      <c r="AZ96" s="68"/>
      <c r="BA96" s="68"/>
      <c r="BB96" s="69"/>
    </row>
    <row r="97" spans="1:54" s="238" customFormat="1" x14ac:dyDescent="0.2">
      <c r="A97" s="252" t="s">
        <v>31</v>
      </c>
      <c r="B97" s="253"/>
      <c r="C97" s="254"/>
      <c r="D97" s="255"/>
      <c r="E97" s="256"/>
      <c r="F97" s="255"/>
      <c r="G97" s="256"/>
      <c r="H97" s="255"/>
      <c r="I97" s="256"/>
      <c r="J97" s="256"/>
      <c r="K97" s="256"/>
      <c r="L97" s="256"/>
      <c r="M97" s="256"/>
      <c r="N97" s="256"/>
      <c r="O97" s="256"/>
      <c r="P97" s="256"/>
      <c r="Q97" s="255"/>
      <c r="R97" s="256"/>
      <c r="S97" s="256"/>
      <c r="T97" s="256"/>
      <c r="U97" s="255"/>
      <c r="V97" s="256"/>
      <c r="W97" s="255"/>
      <c r="X97" s="256"/>
      <c r="Y97" s="253"/>
      <c r="Z97" s="253"/>
      <c r="AA97" s="253"/>
      <c r="AB97" s="253"/>
      <c r="AC97" s="253"/>
      <c r="AD97" s="253"/>
      <c r="AE97" s="255"/>
      <c r="AF97" s="256"/>
      <c r="AG97" s="256"/>
      <c r="AH97" s="256"/>
      <c r="AI97" s="256"/>
      <c r="AJ97" s="255"/>
      <c r="AK97" s="256"/>
      <c r="AL97" s="255"/>
      <c r="AM97" s="256"/>
      <c r="AN97" s="255"/>
      <c r="AO97" s="256"/>
      <c r="AP97" s="256"/>
      <c r="AQ97" s="255"/>
      <c r="AR97" s="256"/>
      <c r="AS97" s="256"/>
      <c r="AT97" s="256"/>
      <c r="AU97" s="255"/>
      <c r="AV97" s="256"/>
      <c r="AW97" s="255"/>
      <c r="AX97" s="256"/>
      <c r="AY97" s="255"/>
      <c r="AZ97" s="256"/>
      <c r="BA97" s="256"/>
      <c r="BB97" s="257"/>
    </row>
    <row r="98" spans="1:54" x14ac:dyDescent="0.2">
      <c r="A98" s="258" t="s">
        <v>44</v>
      </c>
      <c r="B98" s="259"/>
      <c r="C98" s="259"/>
      <c r="D98" s="259"/>
      <c r="E98" s="259"/>
      <c r="F98" s="260"/>
      <c r="G98" s="259"/>
      <c r="H98" s="260"/>
      <c r="I98" s="259"/>
      <c r="J98" s="259"/>
      <c r="K98" s="259"/>
      <c r="L98" s="259"/>
      <c r="M98" s="259"/>
      <c r="N98" s="259"/>
      <c r="O98" s="259"/>
      <c r="P98" s="259"/>
      <c r="Q98" s="260"/>
      <c r="R98" s="259"/>
      <c r="S98" s="259"/>
      <c r="T98" s="259"/>
      <c r="U98" s="259"/>
      <c r="V98" s="259"/>
      <c r="W98" s="259"/>
      <c r="X98" s="259"/>
      <c r="Y98" s="259"/>
      <c r="Z98" s="259"/>
      <c r="AA98" s="259"/>
      <c r="AB98" s="259"/>
      <c r="AC98" s="259"/>
      <c r="AD98" s="259"/>
      <c r="AE98" s="259"/>
      <c r="AF98" s="259"/>
      <c r="AG98" s="259"/>
      <c r="AH98" s="259"/>
      <c r="AI98" s="259"/>
      <c r="AJ98" s="261"/>
      <c r="AK98" s="259"/>
      <c r="AL98" s="261"/>
      <c r="AM98" s="259"/>
      <c r="AN98" s="260"/>
      <c r="AO98" s="259"/>
      <c r="AP98" s="259"/>
      <c r="AQ98" s="260"/>
      <c r="AR98" s="259"/>
      <c r="AS98" s="259"/>
      <c r="AT98" s="259"/>
      <c r="AU98" s="260"/>
      <c r="AV98" s="259"/>
      <c r="AW98" s="262"/>
      <c r="AX98" s="259"/>
      <c r="AY98" s="260"/>
      <c r="AZ98" s="263"/>
      <c r="BA98" s="259"/>
      <c r="BB98" s="264"/>
    </row>
    <row r="99" spans="1:54" x14ac:dyDescent="0.2">
      <c r="A99" s="265"/>
      <c r="B99" s="266"/>
      <c r="C99" s="267"/>
      <c r="D99" s="268"/>
      <c r="E99" s="269"/>
      <c r="F99" s="268"/>
      <c r="G99" s="269"/>
      <c r="H99" s="268"/>
      <c r="I99" s="269"/>
      <c r="J99" s="269"/>
      <c r="K99" s="269"/>
      <c r="L99" s="269"/>
      <c r="M99" s="269"/>
      <c r="N99" s="269"/>
      <c r="O99" s="269"/>
      <c r="P99" s="269"/>
      <c r="Q99" s="268"/>
      <c r="R99" s="269"/>
      <c r="S99" s="269"/>
      <c r="T99" s="269"/>
      <c r="U99" s="268"/>
      <c r="V99" s="269"/>
      <c r="W99" s="268"/>
      <c r="X99" s="269"/>
      <c r="Y99" s="266"/>
      <c r="Z99" s="266"/>
      <c r="AA99" s="266"/>
      <c r="AB99" s="266"/>
      <c r="AC99" s="266"/>
      <c r="AD99" s="266"/>
      <c r="AE99" s="268"/>
      <c r="AF99" s="269"/>
      <c r="AG99" s="269"/>
      <c r="AH99" s="269"/>
      <c r="AI99" s="269"/>
      <c r="AJ99" s="268"/>
      <c r="AK99" s="269"/>
      <c r="AL99" s="268"/>
      <c r="AM99" s="269"/>
      <c r="AN99" s="268"/>
      <c r="AO99" s="269"/>
      <c r="AP99" s="269"/>
      <c r="AQ99" s="268"/>
      <c r="AR99" s="269"/>
      <c r="AS99" s="269"/>
      <c r="AT99" s="269"/>
      <c r="AU99" s="268"/>
      <c r="AV99" s="269"/>
      <c r="AW99" s="268"/>
      <c r="AX99" s="269"/>
      <c r="AY99" s="268"/>
      <c r="AZ99" s="269"/>
      <c r="BA99" s="269"/>
      <c r="BB99" s="270"/>
    </row>
    <row r="100" spans="1:54" x14ac:dyDescent="0.2">
      <c r="A100" s="70" t="s">
        <v>46</v>
      </c>
      <c r="B100" s="71"/>
      <c r="C100" s="72"/>
      <c r="D100" s="73"/>
      <c r="E100" s="74"/>
      <c r="F100" s="73"/>
      <c r="G100" s="74"/>
      <c r="H100" s="73"/>
      <c r="I100" s="74"/>
      <c r="J100" s="74"/>
      <c r="K100" s="74"/>
      <c r="L100" s="74"/>
      <c r="M100" s="74"/>
      <c r="N100" s="74"/>
      <c r="O100" s="74"/>
      <c r="P100" s="74"/>
      <c r="Q100" s="73"/>
      <c r="R100" s="74"/>
      <c r="S100" s="74"/>
      <c r="T100" s="74"/>
      <c r="U100" s="73"/>
      <c r="V100" s="74"/>
      <c r="W100" s="73"/>
      <c r="X100" s="74"/>
      <c r="Y100" s="71"/>
      <c r="Z100" s="71"/>
      <c r="AA100" s="71"/>
      <c r="AB100" s="71"/>
      <c r="AC100" s="71"/>
      <c r="AD100" s="71"/>
      <c r="AE100" s="73"/>
      <c r="AF100" s="74"/>
      <c r="AG100" s="74"/>
      <c r="AH100" s="74"/>
      <c r="AI100" s="74"/>
      <c r="AJ100" s="73"/>
      <c r="AK100" s="74"/>
      <c r="AL100" s="73"/>
      <c r="AM100" s="74"/>
      <c r="AN100" s="73"/>
      <c r="AO100" s="74"/>
      <c r="AP100" s="74"/>
      <c r="AQ100" s="73"/>
      <c r="AR100" s="74"/>
      <c r="AS100" s="74"/>
      <c r="AT100" s="74"/>
      <c r="AU100" s="73"/>
      <c r="AV100" s="74"/>
      <c r="AW100" s="73"/>
      <c r="AX100" s="74"/>
      <c r="AY100" s="73"/>
      <c r="AZ100" s="74"/>
      <c r="BA100" s="74"/>
      <c r="BB100" s="75"/>
    </row>
    <row r="101" spans="1:54" x14ac:dyDescent="0.2">
      <c r="A101" s="219" t="s">
        <v>47</v>
      </c>
      <c r="B101" s="220"/>
      <c r="C101" s="220"/>
      <c r="D101" s="220"/>
      <c r="E101" s="220"/>
      <c r="F101" s="85"/>
      <c r="G101" s="220"/>
      <c r="H101" s="85"/>
      <c r="I101" s="220"/>
      <c r="J101" s="220"/>
      <c r="K101" s="220"/>
      <c r="L101" s="220"/>
      <c r="M101" s="220"/>
      <c r="N101" s="220"/>
      <c r="O101" s="220"/>
      <c r="P101" s="220"/>
      <c r="Q101" s="85"/>
      <c r="R101" s="220"/>
      <c r="S101" s="220"/>
      <c r="T101" s="220"/>
      <c r="U101" s="220"/>
      <c r="V101" s="220"/>
      <c r="W101" s="220"/>
      <c r="X101" s="220"/>
      <c r="Y101" s="220"/>
      <c r="Z101" s="220"/>
      <c r="AA101" s="220"/>
      <c r="AB101" s="220"/>
      <c r="AC101" s="220"/>
      <c r="AD101" s="220"/>
      <c r="AE101" s="220"/>
      <c r="AF101" s="220"/>
      <c r="AG101" s="220"/>
      <c r="AH101" s="220"/>
      <c r="AI101" s="220"/>
      <c r="AJ101" s="221"/>
      <c r="AK101" s="220"/>
      <c r="AL101" s="221"/>
      <c r="AM101" s="220"/>
      <c r="AN101" s="85"/>
      <c r="AO101" s="220"/>
      <c r="AP101" s="220"/>
      <c r="AQ101" s="85"/>
      <c r="AR101" s="220"/>
      <c r="AS101" s="220"/>
      <c r="AT101" s="220"/>
      <c r="AU101" s="85"/>
      <c r="AV101" s="220"/>
      <c r="AW101" s="251"/>
      <c r="AX101" s="220"/>
      <c r="AY101" s="85"/>
      <c r="AZ101" s="125"/>
      <c r="BA101" s="220"/>
      <c r="BB101" s="76"/>
    </row>
    <row r="102" spans="1:54" x14ac:dyDescent="0.2">
      <c r="A102" s="219" t="s">
        <v>48</v>
      </c>
      <c r="B102" s="220"/>
      <c r="C102" s="220"/>
      <c r="D102" s="220"/>
      <c r="E102" s="220"/>
      <c r="F102" s="85"/>
      <c r="G102" s="220"/>
      <c r="H102" s="85"/>
      <c r="I102" s="220"/>
      <c r="J102" s="220"/>
      <c r="K102" s="220"/>
      <c r="L102" s="220"/>
      <c r="M102" s="220"/>
      <c r="N102" s="220"/>
      <c r="O102" s="220"/>
      <c r="P102" s="220"/>
      <c r="Q102" s="85"/>
      <c r="R102" s="220"/>
      <c r="S102" s="220"/>
      <c r="T102" s="220"/>
      <c r="U102" s="220"/>
      <c r="V102" s="220"/>
      <c r="W102" s="220"/>
      <c r="X102" s="220"/>
      <c r="Y102" s="220"/>
      <c r="Z102" s="220"/>
      <c r="AA102" s="220"/>
      <c r="AB102" s="220"/>
      <c r="AC102" s="220"/>
      <c r="AD102" s="220"/>
      <c r="AE102" s="220"/>
      <c r="AF102" s="220"/>
      <c r="AG102" s="220"/>
      <c r="AH102" s="220"/>
      <c r="AI102" s="220"/>
      <c r="AJ102" s="221"/>
      <c r="AK102" s="220"/>
      <c r="AL102" s="221"/>
      <c r="AM102" s="220"/>
      <c r="AN102" s="85"/>
      <c r="AO102" s="220"/>
      <c r="AP102" s="220"/>
      <c r="AQ102" s="85"/>
      <c r="AR102" s="220"/>
      <c r="AS102" s="220"/>
      <c r="AT102" s="220"/>
      <c r="AU102" s="85"/>
      <c r="AV102" s="220"/>
      <c r="AW102" s="251"/>
      <c r="AX102" s="220"/>
      <c r="AY102" s="85"/>
      <c r="AZ102" s="125"/>
      <c r="BA102" s="220"/>
      <c r="BB102" s="76"/>
    </row>
    <row r="103" spans="1:54" x14ac:dyDescent="0.2">
      <c r="A103" s="219" t="s">
        <v>49</v>
      </c>
      <c r="B103" s="220"/>
      <c r="C103" s="220"/>
      <c r="D103" s="220"/>
      <c r="E103" s="220"/>
      <c r="F103" s="85"/>
      <c r="G103" s="220"/>
      <c r="H103" s="85"/>
      <c r="I103" s="220"/>
      <c r="J103" s="220"/>
      <c r="K103" s="220"/>
      <c r="L103" s="220"/>
      <c r="M103" s="220"/>
      <c r="N103" s="220"/>
      <c r="O103" s="220"/>
      <c r="P103" s="220"/>
      <c r="Q103" s="85"/>
      <c r="R103" s="220"/>
      <c r="S103" s="220"/>
      <c r="T103" s="220"/>
      <c r="U103" s="220"/>
      <c r="V103" s="220"/>
      <c r="W103" s="220"/>
      <c r="X103" s="220"/>
      <c r="Y103" s="220"/>
      <c r="Z103" s="220"/>
      <c r="AA103" s="220"/>
      <c r="AB103" s="220"/>
      <c r="AC103" s="220"/>
      <c r="AD103" s="220"/>
      <c r="AE103" s="220"/>
      <c r="AF103" s="220"/>
      <c r="AG103" s="220"/>
      <c r="AH103" s="220"/>
      <c r="AI103" s="220"/>
      <c r="AJ103" s="221"/>
      <c r="AK103" s="220"/>
      <c r="AL103" s="221"/>
      <c r="AM103" s="220"/>
      <c r="AN103" s="85"/>
      <c r="AO103" s="220"/>
      <c r="AP103" s="220"/>
      <c r="AQ103" s="85"/>
      <c r="AR103" s="220"/>
      <c r="AS103" s="220"/>
      <c r="AT103" s="220"/>
      <c r="AU103" s="85"/>
      <c r="AV103" s="220"/>
      <c r="AW103" s="251"/>
      <c r="AX103" s="220"/>
      <c r="AY103" s="85"/>
      <c r="AZ103" s="125"/>
      <c r="BA103" s="220"/>
      <c r="BB103" s="76"/>
    </row>
    <row r="104" spans="1:54" x14ac:dyDescent="0.2">
      <c r="A104" s="219" t="s">
        <v>50</v>
      </c>
      <c r="B104" s="220"/>
      <c r="C104" s="220"/>
      <c r="D104" s="220"/>
      <c r="E104" s="220"/>
      <c r="F104" s="85"/>
      <c r="G104" s="220"/>
      <c r="H104" s="85"/>
      <c r="I104" s="220"/>
      <c r="J104" s="220"/>
      <c r="K104" s="220"/>
      <c r="L104" s="220"/>
      <c r="M104" s="220"/>
      <c r="N104" s="220"/>
      <c r="O104" s="220"/>
      <c r="P104" s="220"/>
      <c r="Q104" s="85"/>
      <c r="R104" s="220"/>
      <c r="S104" s="220"/>
      <c r="T104" s="220"/>
      <c r="U104" s="220"/>
      <c r="V104" s="220"/>
      <c r="W104" s="220"/>
      <c r="X104" s="220"/>
      <c r="Y104" s="220"/>
      <c r="Z104" s="220"/>
      <c r="AA104" s="220"/>
      <c r="AB104" s="220"/>
      <c r="AC104" s="220"/>
      <c r="AD104" s="220"/>
      <c r="AE104" s="220"/>
      <c r="AF104" s="220"/>
      <c r="AG104" s="220"/>
      <c r="AH104" s="220"/>
      <c r="AI104" s="220"/>
      <c r="AJ104" s="221"/>
      <c r="AK104" s="220"/>
      <c r="AL104" s="221"/>
      <c r="AM104" s="220"/>
      <c r="AN104" s="85"/>
      <c r="AO104" s="220"/>
      <c r="AP104" s="220"/>
      <c r="AQ104" s="85"/>
      <c r="AR104" s="220"/>
      <c r="AS104" s="220"/>
      <c r="AT104" s="220"/>
      <c r="AU104" s="85"/>
      <c r="AV104" s="220"/>
      <c r="AW104" s="251"/>
      <c r="AX104" s="220"/>
      <c r="AY104" s="85"/>
      <c r="AZ104" s="125"/>
      <c r="BA104" s="220"/>
      <c r="BB104" s="76"/>
    </row>
    <row r="105" spans="1:54" x14ac:dyDescent="0.2">
      <c r="A105" s="219" t="s">
        <v>51</v>
      </c>
      <c r="B105" s="220"/>
      <c r="C105" s="220"/>
      <c r="D105" s="220"/>
      <c r="E105" s="220"/>
      <c r="F105" s="85"/>
      <c r="G105" s="220"/>
      <c r="H105" s="85"/>
      <c r="I105" s="220"/>
      <c r="J105" s="220"/>
      <c r="K105" s="220"/>
      <c r="L105" s="220"/>
      <c r="M105" s="220"/>
      <c r="N105" s="220"/>
      <c r="O105" s="220"/>
      <c r="P105" s="220"/>
      <c r="Q105" s="85"/>
      <c r="R105" s="220"/>
      <c r="S105" s="220"/>
      <c r="T105" s="220"/>
      <c r="U105" s="220"/>
      <c r="V105" s="220"/>
      <c r="W105" s="220"/>
      <c r="X105" s="220"/>
      <c r="Y105" s="220"/>
      <c r="Z105" s="220"/>
      <c r="AA105" s="220"/>
      <c r="AB105" s="220"/>
      <c r="AC105" s="220"/>
      <c r="AD105" s="220"/>
      <c r="AE105" s="220"/>
      <c r="AF105" s="220"/>
      <c r="AG105" s="220"/>
      <c r="AH105" s="220"/>
      <c r="AI105" s="220"/>
      <c r="AJ105" s="221"/>
      <c r="AK105" s="220"/>
      <c r="AL105" s="221"/>
      <c r="AM105" s="220"/>
      <c r="AN105" s="85"/>
      <c r="AO105" s="220"/>
      <c r="AP105" s="220"/>
      <c r="AQ105" s="85"/>
      <c r="AR105" s="220"/>
      <c r="AS105" s="220"/>
      <c r="AT105" s="220"/>
      <c r="AU105" s="85"/>
      <c r="AV105" s="220"/>
      <c r="AW105" s="251"/>
      <c r="AX105" s="220"/>
      <c r="AY105" s="85"/>
      <c r="AZ105" s="125"/>
      <c r="BA105" s="220"/>
      <c r="BB105" s="76"/>
    </row>
    <row r="106" spans="1:54" x14ac:dyDescent="0.2">
      <c r="A106" s="77"/>
      <c r="B106" s="78"/>
      <c r="C106" s="79"/>
      <c r="D106" s="80"/>
      <c r="E106" s="81"/>
      <c r="F106" s="80"/>
      <c r="G106" s="81"/>
      <c r="H106" s="80"/>
      <c r="I106" s="81"/>
      <c r="J106" s="81"/>
      <c r="K106" s="81"/>
      <c r="L106" s="81"/>
      <c r="M106" s="81"/>
      <c r="N106" s="81"/>
      <c r="O106" s="81"/>
      <c r="P106" s="81"/>
      <c r="Q106" s="80"/>
      <c r="R106" s="81"/>
      <c r="S106" s="81"/>
      <c r="T106" s="81"/>
      <c r="U106" s="80"/>
      <c r="V106" s="81"/>
      <c r="W106" s="80"/>
      <c r="X106" s="81"/>
      <c r="Y106" s="78"/>
      <c r="Z106" s="78"/>
      <c r="AA106" s="78"/>
      <c r="AB106" s="78"/>
      <c r="AC106" s="78"/>
      <c r="AD106" s="78"/>
      <c r="AE106" s="80"/>
      <c r="AF106" s="81"/>
      <c r="AG106" s="81"/>
      <c r="AH106" s="81"/>
      <c r="AI106" s="81"/>
      <c r="AJ106" s="80"/>
      <c r="AK106" s="81"/>
      <c r="AL106" s="80"/>
      <c r="AM106" s="81"/>
      <c r="AN106" s="80"/>
      <c r="AO106" s="81"/>
      <c r="AP106" s="81"/>
      <c r="AQ106" s="80"/>
      <c r="AR106" s="81"/>
      <c r="AS106" s="81"/>
      <c r="AT106" s="81"/>
      <c r="AU106" s="80"/>
      <c r="AV106" s="81"/>
      <c r="AW106" s="80"/>
      <c r="AX106" s="81"/>
      <c r="AY106" s="80"/>
      <c r="AZ106" s="81"/>
      <c r="BA106" s="81"/>
      <c r="BB106" s="82"/>
    </row>
  </sheetData>
  <sheetProtection algorithmName="SHA-512" hashValue="0QXtQgfxrO4rPuejx3CEkfcLRHeCccyZyjO2vGFIDWKsI/kYHI1Zbnjv3L6m9DtnnfqptcNHcavWXxnWHi3Hqw==" saltValue="pzp89LBtWSK6DnMIZwXloQ==" spinCount="100000" sheet="1" formatCells="0" formatColumns="0" formatRows="0"/>
  <sortState xmlns:xlrd2="http://schemas.microsoft.com/office/spreadsheetml/2017/richdata2" ref="A37:BF69">
    <sortCondition ref="A37:A69"/>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7" fitToWidth="4" fitToHeight="6" orientation="landscape" r:id="rId1"/>
  <headerFooter alignWithMargins="0">
    <oddFooter>Page &amp;P of &amp;N</oddFooter>
  </headerFooter>
  <colBreaks count="3" manualBreakCount="3">
    <brk id="16" max="70" man="1"/>
    <brk id="30" max="70" man="1"/>
    <brk id="42" max="7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 activePane="bottomLeft" state="frozen"/>
      <selection pane="bottomLeft" sqref="A1:XFD1048576"/>
    </sheetView>
  </sheetViews>
  <sheetFormatPr defaultColWidth="11.42578125" defaultRowHeight="15" x14ac:dyDescent="0.25"/>
  <cols>
    <col min="1" max="1" width="33.28515625" style="180" customWidth="1"/>
    <col min="2" max="2" width="5.5703125" style="193" bestFit="1" customWidth="1"/>
    <col min="3" max="3" width="9.85546875" style="194" customWidth="1"/>
    <col min="4" max="4" width="10.28515625" style="194" customWidth="1"/>
    <col min="5" max="5" width="9.42578125" style="194" bestFit="1" customWidth="1"/>
    <col min="6" max="6" width="12.42578125" style="194" customWidth="1"/>
    <col min="7" max="7" width="9.28515625" style="194" customWidth="1"/>
    <col min="8" max="8" width="12.28515625" style="194" customWidth="1"/>
    <col min="9" max="9" width="8.140625" style="194" bestFit="1" customWidth="1"/>
    <col min="10" max="10" width="9.5703125" style="195" customWidth="1"/>
    <col min="11" max="12" width="11.42578125" style="170"/>
    <col min="13" max="13" width="14.85546875" style="196" bestFit="1" customWidth="1"/>
    <col min="14" max="14" width="9.85546875" style="196" bestFit="1" customWidth="1"/>
    <col min="15" max="16" width="9.28515625" style="196" bestFit="1" customWidth="1"/>
    <col min="17" max="19" width="10.7109375" style="196" bestFit="1" customWidth="1"/>
    <col min="20" max="16384" width="11.42578125" style="182"/>
  </cols>
  <sheetData>
    <row r="1" spans="1:19" s="180" customFormat="1" ht="45" x14ac:dyDescent="0.25">
      <c r="A1" s="273" t="s">
        <v>151</v>
      </c>
      <c r="B1" s="274"/>
      <c r="C1" s="275">
        <v>1204</v>
      </c>
      <c r="D1" s="274">
        <v>3604</v>
      </c>
      <c r="E1" s="274">
        <v>4076</v>
      </c>
      <c r="F1" s="274">
        <v>3620</v>
      </c>
      <c r="G1" s="275" t="s">
        <v>105</v>
      </c>
      <c r="H1" s="274">
        <v>4561</v>
      </c>
      <c r="I1" s="274" t="s">
        <v>106</v>
      </c>
      <c r="J1" s="276" t="s">
        <v>107</v>
      </c>
      <c r="K1" s="277" t="s">
        <v>108</v>
      </c>
      <c r="L1" s="277" t="s">
        <v>109</v>
      </c>
      <c r="M1" s="276" t="s">
        <v>110</v>
      </c>
      <c r="N1" s="276" t="s">
        <v>111</v>
      </c>
      <c r="O1" s="276" t="s">
        <v>112</v>
      </c>
      <c r="P1" s="276" t="s">
        <v>113</v>
      </c>
      <c r="Q1" s="276" t="s">
        <v>114</v>
      </c>
      <c r="R1" s="276" t="s">
        <v>115</v>
      </c>
      <c r="S1" s="276" t="s">
        <v>143</v>
      </c>
    </row>
    <row r="2" spans="1:19" s="181" customFormat="1" ht="30" x14ac:dyDescent="0.25">
      <c r="A2" s="278" t="s">
        <v>152</v>
      </c>
      <c r="B2" s="279"/>
      <c r="C2" s="280">
        <v>30</v>
      </c>
      <c r="D2" s="279">
        <v>77</v>
      </c>
      <c r="E2" s="279">
        <v>19.100000000000001</v>
      </c>
      <c r="F2" s="279">
        <v>50</v>
      </c>
      <c r="G2" s="280">
        <v>7.5</v>
      </c>
      <c r="H2" s="279" t="s">
        <v>153</v>
      </c>
      <c r="I2" s="279"/>
      <c r="J2" s="281"/>
      <c r="K2" s="276"/>
      <c r="L2" s="276"/>
      <c r="M2" s="276"/>
      <c r="N2" s="276"/>
      <c r="O2" s="276"/>
      <c r="P2" s="276"/>
      <c r="Q2" s="276"/>
      <c r="R2" s="276"/>
      <c r="S2" s="276"/>
    </row>
    <row r="3" spans="1:19" s="180" customFormat="1" x14ac:dyDescent="0.25">
      <c r="A3" s="273"/>
      <c r="B3" s="274"/>
      <c r="C3" s="275" t="s">
        <v>116</v>
      </c>
      <c r="D3" s="274" t="s">
        <v>117</v>
      </c>
      <c r="E3" s="274" t="s">
        <v>118</v>
      </c>
      <c r="F3" s="274" t="s">
        <v>119</v>
      </c>
      <c r="G3" s="275"/>
      <c r="H3" s="274" t="s">
        <v>120</v>
      </c>
      <c r="I3" s="274"/>
      <c r="J3" s="282"/>
      <c r="K3" s="277"/>
      <c r="L3" s="277"/>
      <c r="M3" s="276"/>
      <c r="N3" s="276"/>
      <c r="O3" s="276"/>
      <c r="P3" s="276"/>
      <c r="Q3" s="276"/>
      <c r="R3" s="276"/>
      <c r="S3" s="276"/>
    </row>
    <row r="4" spans="1:19" x14ac:dyDescent="0.25">
      <c r="A4" s="158" t="s">
        <v>121</v>
      </c>
      <c r="B4" s="159">
        <v>2023</v>
      </c>
      <c r="C4" s="160">
        <v>16.707999999999998</v>
      </c>
      <c r="D4" s="160">
        <v>23.67</v>
      </c>
      <c r="E4" s="160">
        <v>19.315000000000001</v>
      </c>
      <c r="F4" s="160">
        <v>15.925000000000001</v>
      </c>
      <c r="G4" s="160"/>
      <c r="H4" s="160">
        <v>22.271000000000001</v>
      </c>
      <c r="I4" s="160"/>
      <c r="J4" s="161"/>
      <c r="K4" s="160"/>
      <c r="L4" s="160"/>
      <c r="M4" s="162"/>
      <c r="N4" s="162"/>
      <c r="O4" s="162"/>
      <c r="P4" s="162"/>
      <c r="Q4" s="162"/>
      <c r="R4" s="162"/>
      <c r="S4" s="162"/>
    </row>
    <row r="5" spans="1:19" x14ac:dyDescent="0.25">
      <c r="A5" s="183" t="s">
        <v>121</v>
      </c>
      <c r="B5" s="184">
        <v>2024</v>
      </c>
      <c r="C5" s="163">
        <v>17.577000000000002</v>
      </c>
      <c r="D5" s="163">
        <v>24.901</v>
      </c>
      <c r="E5" s="163">
        <v>19.315000000000001</v>
      </c>
      <c r="F5" s="163">
        <v>16.753</v>
      </c>
      <c r="G5" s="163"/>
      <c r="H5" s="163">
        <v>22.271000000000001</v>
      </c>
      <c r="I5" s="163"/>
      <c r="J5" s="164"/>
      <c r="K5" s="163"/>
      <c r="L5" s="163"/>
      <c r="M5" s="165"/>
      <c r="N5" s="165"/>
      <c r="O5" s="165"/>
      <c r="P5" s="165"/>
      <c r="Q5" s="165"/>
      <c r="R5" s="165"/>
      <c r="S5" s="165"/>
    </row>
    <row r="6" spans="1:19" x14ac:dyDescent="0.25">
      <c r="A6" s="158" t="s">
        <v>144</v>
      </c>
      <c r="B6" s="159">
        <v>2023</v>
      </c>
      <c r="C6" s="160">
        <v>16.45</v>
      </c>
      <c r="D6" s="160">
        <v>23.38</v>
      </c>
      <c r="E6" s="160">
        <v>18.93</v>
      </c>
      <c r="F6" s="160">
        <v>15.72</v>
      </c>
      <c r="G6" s="160">
        <v>26.7</v>
      </c>
      <c r="H6" s="160">
        <v>22.03</v>
      </c>
      <c r="I6" s="160"/>
      <c r="J6" s="161"/>
      <c r="K6" s="160"/>
      <c r="L6" s="160"/>
      <c r="M6" s="162"/>
      <c r="N6" s="162"/>
      <c r="O6" s="162"/>
      <c r="P6" s="162"/>
      <c r="Q6" s="162"/>
      <c r="R6" s="162"/>
      <c r="S6" s="162"/>
    </row>
    <row r="7" spans="1:19" x14ac:dyDescent="0.25">
      <c r="A7" s="183" t="s">
        <v>144</v>
      </c>
      <c r="B7" s="184">
        <v>2024</v>
      </c>
      <c r="C7" s="163">
        <f>529.8/30</f>
        <v>17.66</v>
      </c>
      <c r="D7" s="163">
        <f>1926.4/77</f>
        <v>25.018181818181819</v>
      </c>
      <c r="E7" s="163">
        <v>0</v>
      </c>
      <c r="F7" s="163">
        <f>841.8/50</f>
        <v>16.835999999999999</v>
      </c>
      <c r="G7" s="163">
        <f>214/7.5</f>
        <v>28.533333333333335</v>
      </c>
      <c r="H7" s="163">
        <v>0</v>
      </c>
      <c r="I7" s="163"/>
      <c r="J7" s="164"/>
      <c r="K7" s="163"/>
      <c r="L7" s="163"/>
      <c r="M7" s="165"/>
      <c r="N7" s="165"/>
      <c r="O7" s="165"/>
      <c r="P7" s="165"/>
      <c r="Q7" s="165"/>
      <c r="R7" s="165"/>
      <c r="S7" s="165"/>
    </row>
    <row r="8" spans="1:19" x14ac:dyDescent="0.25">
      <c r="A8" s="158" t="s">
        <v>77</v>
      </c>
      <c r="B8" s="159">
        <v>2023</v>
      </c>
      <c r="C8" s="160">
        <v>16.192</v>
      </c>
      <c r="D8" s="160">
        <v>22.937999999999999</v>
      </c>
      <c r="E8" s="160">
        <v>14.794</v>
      </c>
      <c r="F8" s="160">
        <v>15.435</v>
      </c>
      <c r="G8" s="160">
        <v>0</v>
      </c>
      <c r="H8" s="160">
        <v>20.981999999999999</v>
      </c>
      <c r="I8" s="160"/>
      <c r="J8" s="161"/>
      <c r="K8" s="160"/>
      <c r="L8" s="160"/>
      <c r="M8" s="162"/>
      <c r="N8" s="162"/>
      <c r="O8" s="162"/>
      <c r="P8" s="162"/>
      <c r="Q8" s="162"/>
      <c r="R8" s="162"/>
      <c r="S8" s="162"/>
    </row>
    <row r="9" spans="1:19" x14ac:dyDescent="0.25">
      <c r="A9" s="183" t="s">
        <v>77</v>
      </c>
      <c r="B9" s="184">
        <v>2024</v>
      </c>
      <c r="C9" s="163">
        <v>17.033999999999999</v>
      </c>
      <c r="D9" s="163">
        <v>24.131</v>
      </c>
      <c r="E9" s="163">
        <v>19.14</v>
      </c>
      <c r="F9" s="163">
        <v>16.238</v>
      </c>
      <c r="G9" s="163">
        <v>0</v>
      </c>
      <c r="H9" s="163">
        <v>22.073</v>
      </c>
      <c r="I9" s="163"/>
      <c r="J9" s="164"/>
      <c r="K9" s="163"/>
      <c r="L9" s="163"/>
      <c r="M9" s="163"/>
      <c r="N9" s="163"/>
      <c r="O9" s="163"/>
      <c r="P9" s="163"/>
      <c r="Q9" s="165"/>
      <c r="R9" s="165"/>
      <c r="S9" s="165"/>
    </row>
    <row r="10" spans="1:19" x14ac:dyDescent="0.25">
      <c r="A10" s="158" t="s">
        <v>122</v>
      </c>
      <c r="B10" s="159">
        <v>2023</v>
      </c>
      <c r="C10" s="160">
        <v>16.422000000000001</v>
      </c>
      <c r="D10" s="160">
        <v>23.263000000000002</v>
      </c>
      <c r="E10" s="160">
        <v>17.442</v>
      </c>
      <c r="F10" s="160">
        <v>15.657999999999999</v>
      </c>
      <c r="G10" s="160">
        <v>0</v>
      </c>
      <c r="H10" s="160">
        <v>21.283000000000001</v>
      </c>
      <c r="I10" s="160"/>
      <c r="J10" s="161"/>
      <c r="K10" s="160"/>
      <c r="L10" s="160"/>
      <c r="M10" s="162"/>
      <c r="N10" s="162"/>
      <c r="O10" s="162"/>
      <c r="P10" s="162"/>
      <c r="Q10" s="162"/>
      <c r="R10" s="162"/>
      <c r="S10" s="162"/>
    </row>
    <row r="11" spans="1:19" x14ac:dyDescent="0.25">
      <c r="A11" s="183" t="s">
        <v>122</v>
      </c>
      <c r="B11" s="184">
        <v>2024</v>
      </c>
      <c r="C11" s="163">
        <v>17.276</v>
      </c>
      <c r="D11" s="163">
        <v>24.472999999999999</v>
      </c>
      <c r="E11" s="163">
        <v>19.414000000000001</v>
      </c>
      <c r="F11" s="163">
        <v>16.472000000000001</v>
      </c>
      <c r="G11" s="163">
        <v>0</v>
      </c>
      <c r="H11" s="163">
        <v>22.39</v>
      </c>
      <c r="I11" s="163"/>
      <c r="J11" s="164"/>
      <c r="K11" s="163"/>
      <c r="L11" s="163"/>
      <c r="M11" s="165"/>
      <c r="N11" s="165"/>
      <c r="O11" s="165"/>
      <c r="P11" s="165"/>
      <c r="Q11" s="165"/>
      <c r="R11" s="165"/>
      <c r="S11" s="165"/>
    </row>
    <row r="12" spans="1:19" x14ac:dyDescent="0.25">
      <c r="A12" s="158" t="s">
        <v>78</v>
      </c>
      <c r="B12" s="159">
        <v>2023</v>
      </c>
      <c r="C12" s="160">
        <v>15.52</v>
      </c>
      <c r="D12" s="160">
        <v>21.99</v>
      </c>
      <c r="E12" s="160">
        <v>17.809999999999999</v>
      </c>
      <c r="F12" s="160">
        <v>14.81</v>
      </c>
      <c r="G12" s="160">
        <v>25.2</v>
      </c>
      <c r="H12" s="160">
        <v>20.73</v>
      </c>
      <c r="I12" s="160"/>
      <c r="J12" s="161"/>
      <c r="K12" s="160"/>
      <c r="L12" s="160"/>
      <c r="M12" s="162"/>
      <c r="N12" s="162"/>
      <c r="O12" s="162"/>
      <c r="P12" s="162"/>
      <c r="Q12" s="162"/>
      <c r="R12" s="162"/>
      <c r="S12" s="162"/>
    </row>
    <row r="13" spans="1:19" x14ac:dyDescent="0.25">
      <c r="A13" s="183" t="s">
        <v>78</v>
      </c>
      <c r="B13" s="184">
        <v>2024</v>
      </c>
      <c r="C13" s="163">
        <v>16.48</v>
      </c>
      <c r="D13" s="163">
        <v>23.35</v>
      </c>
      <c r="E13" s="163">
        <v>18.91</v>
      </c>
      <c r="F13" s="163">
        <v>15.73</v>
      </c>
      <c r="G13" s="163">
        <v>26.66</v>
      </c>
      <c r="H13" s="163">
        <v>22.01</v>
      </c>
      <c r="I13" s="163"/>
      <c r="J13" s="164"/>
      <c r="K13" s="163"/>
      <c r="L13" s="163"/>
      <c r="M13" s="165"/>
      <c r="N13" s="165"/>
      <c r="O13" s="165"/>
      <c r="P13" s="165"/>
      <c r="Q13" s="165"/>
      <c r="R13" s="165"/>
      <c r="S13" s="165"/>
    </row>
    <row r="14" spans="1:19" x14ac:dyDescent="0.25">
      <c r="A14" s="158" t="s">
        <v>123</v>
      </c>
      <c r="B14" s="159">
        <v>2023</v>
      </c>
      <c r="C14" s="160">
        <v>15.629999999999999</v>
      </c>
      <c r="D14" s="160">
        <v>22.146753246753246</v>
      </c>
      <c r="E14" s="160">
        <v>12.047120418848166</v>
      </c>
      <c r="F14" s="160">
        <v>14.898</v>
      </c>
      <c r="G14" s="160">
        <v>25.266666666666666</v>
      </c>
      <c r="H14" s="160">
        <v>20.853932584269661</v>
      </c>
      <c r="I14" s="160"/>
      <c r="J14" s="161"/>
      <c r="K14" s="160"/>
      <c r="L14" s="160"/>
      <c r="M14" s="162"/>
      <c r="N14" s="162"/>
      <c r="O14" s="162"/>
      <c r="P14" s="162"/>
      <c r="Q14" s="162"/>
      <c r="R14" s="162"/>
      <c r="S14" s="162"/>
    </row>
    <row r="15" spans="1:19" x14ac:dyDescent="0.25">
      <c r="A15" s="158" t="s">
        <v>124</v>
      </c>
      <c r="B15" s="159">
        <v>2023</v>
      </c>
      <c r="C15" s="160">
        <v>16.073333333333334</v>
      </c>
      <c r="D15" s="160">
        <v>22.76883116883117</v>
      </c>
      <c r="E15" s="160">
        <v>18.575916230366492</v>
      </c>
      <c r="F15" s="160">
        <v>15.322000000000001</v>
      </c>
      <c r="G15" s="160">
        <v>25.973333333333336</v>
      </c>
      <c r="H15" s="160">
        <v>21.432835820895519</v>
      </c>
      <c r="I15" s="160"/>
      <c r="J15" s="161"/>
      <c r="K15" s="160"/>
      <c r="L15" s="160"/>
      <c r="M15" s="162"/>
      <c r="N15" s="162"/>
      <c r="O15" s="162"/>
      <c r="P15" s="162"/>
      <c r="Q15" s="162"/>
      <c r="R15" s="162"/>
      <c r="S15" s="162"/>
    </row>
    <row r="16" spans="1:19" x14ac:dyDescent="0.25">
      <c r="A16" s="158" t="s">
        <v>125</v>
      </c>
      <c r="B16" s="159">
        <v>2023</v>
      </c>
      <c r="C16" s="160">
        <v>16.073333333333334</v>
      </c>
      <c r="D16" s="160">
        <v>22.76883116883117</v>
      </c>
      <c r="E16" s="160">
        <v>18.575916230366492</v>
      </c>
      <c r="F16" s="160">
        <v>15.322000000000001</v>
      </c>
      <c r="G16" s="160">
        <v>25.973333333333336</v>
      </c>
      <c r="H16" s="160">
        <v>21.432835820895519</v>
      </c>
      <c r="I16" s="160"/>
      <c r="J16" s="161"/>
      <c r="K16" s="160"/>
      <c r="L16" s="160"/>
      <c r="M16" s="162"/>
      <c r="N16" s="162"/>
      <c r="O16" s="162"/>
      <c r="P16" s="162"/>
      <c r="Q16" s="162"/>
      <c r="R16" s="162"/>
      <c r="S16" s="162"/>
    </row>
    <row r="17" spans="1:19" ht="90" x14ac:dyDescent="0.25">
      <c r="A17" s="166" t="s">
        <v>154</v>
      </c>
      <c r="B17" s="159">
        <v>2023</v>
      </c>
      <c r="C17" s="160">
        <v>16.413333333333334</v>
      </c>
      <c r="D17" s="160">
        <v>23.250649350649351</v>
      </c>
      <c r="E17" s="160">
        <v>18.973821989528794</v>
      </c>
      <c r="F17" s="160">
        <v>15.644</v>
      </c>
      <c r="G17" s="160">
        <v>26.56</v>
      </c>
      <c r="H17" s="160">
        <v>21.880597014925371</v>
      </c>
      <c r="I17" s="160"/>
      <c r="J17" s="161"/>
      <c r="K17" s="160">
        <v>0</v>
      </c>
      <c r="L17" s="160">
        <v>0</v>
      </c>
      <c r="M17" s="162">
        <v>0</v>
      </c>
      <c r="N17" s="162">
        <v>0</v>
      </c>
      <c r="O17" s="162">
        <v>0</v>
      </c>
      <c r="P17" s="162">
        <v>0</v>
      </c>
      <c r="Q17" s="162">
        <v>0</v>
      </c>
      <c r="R17" s="162">
        <v>0</v>
      </c>
      <c r="S17" s="162">
        <v>0</v>
      </c>
    </row>
    <row r="18" spans="1:19" x14ac:dyDescent="0.25">
      <c r="A18" s="158" t="s">
        <v>126</v>
      </c>
      <c r="B18" s="159">
        <v>2023</v>
      </c>
      <c r="C18" s="160">
        <v>17.276666666666664</v>
      </c>
      <c r="D18" s="160">
        <v>24.471428571428572</v>
      </c>
      <c r="E18" s="160">
        <v>13.31937172774869</v>
      </c>
      <c r="F18" s="160">
        <v>16.472000000000001</v>
      </c>
      <c r="G18" s="160">
        <v>27.893333333333331</v>
      </c>
      <c r="H18" s="160">
        <v>23.067415730337078</v>
      </c>
      <c r="I18" s="160"/>
      <c r="J18" s="161"/>
      <c r="K18" s="160"/>
      <c r="L18" s="160"/>
      <c r="M18" s="162"/>
      <c r="N18" s="162"/>
      <c r="O18" s="162"/>
      <c r="P18" s="162"/>
      <c r="Q18" s="162"/>
      <c r="R18" s="162"/>
      <c r="S18" s="162"/>
    </row>
    <row r="19" spans="1:19" x14ac:dyDescent="0.25">
      <c r="A19" s="158" t="s">
        <v>127</v>
      </c>
      <c r="B19" s="159">
        <v>2023</v>
      </c>
      <c r="C19" s="160">
        <v>22.066666666666666</v>
      </c>
      <c r="D19" s="160">
        <v>31.28051948051948</v>
      </c>
      <c r="E19" s="160">
        <v>25.523560209424083</v>
      </c>
      <c r="F19" s="160">
        <v>21.045999999999999</v>
      </c>
      <c r="G19" s="160">
        <v>35.706666666666671</v>
      </c>
      <c r="H19" s="160">
        <v>29.440298507462686</v>
      </c>
      <c r="I19" s="160"/>
      <c r="J19" s="161"/>
      <c r="K19" s="160"/>
      <c r="L19" s="160"/>
      <c r="M19" s="162"/>
      <c r="N19" s="162"/>
      <c r="O19" s="162"/>
      <c r="P19" s="162"/>
      <c r="Q19" s="162"/>
      <c r="R19" s="162"/>
      <c r="S19" s="162"/>
    </row>
    <row r="20" spans="1:19" x14ac:dyDescent="0.25">
      <c r="A20" s="158" t="s">
        <v>128</v>
      </c>
      <c r="B20" s="159">
        <v>2023</v>
      </c>
      <c r="C20" s="160">
        <v>22.066666666666666</v>
      </c>
      <c r="D20" s="160">
        <v>31.28051948051948</v>
      </c>
      <c r="E20" s="160">
        <v>25.523560209424083</v>
      </c>
      <c r="F20" s="160">
        <v>21.045999999999999</v>
      </c>
      <c r="G20" s="160">
        <v>35.706666666666671</v>
      </c>
      <c r="H20" s="160">
        <v>29.440298507462686</v>
      </c>
      <c r="I20" s="160"/>
      <c r="J20" s="161"/>
      <c r="K20" s="160"/>
      <c r="L20" s="160"/>
      <c r="M20" s="162"/>
      <c r="N20" s="162"/>
      <c r="O20" s="162"/>
      <c r="P20" s="162"/>
      <c r="Q20" s="162"/>
      <c r="R20" s="162"/>
      <c r="S20" s="162"/>
    </row>
    <row r="21" spans="1:19" ht="105" x14ac:dyDescent="0.25">
      <c r="A21" s="166" t="s">
        <v>129</v>
      </c>
      <c r="B21" s="159">
        <v>2023</v>
      </c>
      <c r="C21" s="160">
        <v>22.076666666666664</v>
      </c>
      <c r="D21" s="160">
        <v>31.28051948051948</v>
      </c>
      <c r="E21" s="160">
        <v>19.633507853403138</v>
      </c>
      <c r="F21" s="160">
        <v>21.048000000000002</v>
      </c>
      <c r="G21" s="160">
        <v>19.992537313432834</v>
      </c>
      <c r="H21" s="160">
        <v>22.641791044776117</v>
      </c>
      <c r="I21" s="160"/>
      <c r="J21" s="161"/>
      <c r="K21" s="160"/>
      <c r="L21" s="160"/>
      <c r="M21" s="162"/>
      <c r="N21" s="162"/>
      <c r="O21" s="162"/>
      <c r="P21" s="162"/>
      <c r="Q21" s="162"/>
      <c r="R21" s="162"/>
      <c r="S21" s="162"/>
    </row>
    <row r="22" spans="1:19" x14ac:dyDescent="0.25">
      <c r="A22" s="183" t="s">
        <v>123</v>
      </c>
      <c r="B22" s="184">
        <v>2024</v>
      </c>
      <c r="C22" s="163">
        <f>492.3/30</f>
        <v>16.41</v>
      </c>
      <c r="D22" s="163">
        <f>1790.6/77</f>
        <v>23.254545454545454</v>
      </c>
      <c r="E22" s="163">
        <f>241.6/19.1</f>
        <v>12.649214659685862</v>
      </c>
      <c r="F22" s="163">
        <f>782.1/50</f>
        <v>15.642000000000001</v>
      </c>
      <c r="G22" s="163">
        <f>199/7.5</f>
        <v>26.533333333333335</v>
      </c>
      <c r="H22" s="163">
        <f>194.9/8.9</f>
        <v>21.898876404494381</v>
      </c>
      <c r="I22" s="163"/>
      <c r="J22" s="164"/>
      <c r="K22" s="163"/>
      <c r="L22" s="163"/>
      <c r="M22" s="165"/>
      <c r="N22" s="165"/>
      <c r="O22" s="165"/>
      <c r="P22" s="165"/>
      <c r="Q22" s="165"/>
      <c r="R22" s="165"/>
      <c r="S22" s="165"/>
    </row>
    <row r="23" spans="1:19" x14ac:dyDescent="0.25">
      <c r="A23" s="183" t="s">
        <v>124</v>
      </c>
      <c r="B23" s="184">
        <v>2024</v>
      </c>
      <c r="C23" s="163">
        <f>506.3/30</f>
        <v>16.876666666666669</v>
      </c>
      <c r="D23" s="163">
        <f>1840.9/77</f>
        <v>23.907792207792209</v>
      </c>
      <c r="E23" s="163">
        <f>372.5/19.1</f>
        <v>19.502617801047119</v>
      </c>
      <c r="F23" s="163">
        <f>804.4/50</f>
        <v>16.088000000000001</v>
      </c>
      <c r="G23" s="163">
        <f>204.5/7.5</f>
        <v>27.266666666666666</v>
      </c>
      <c r="H23" s="163">
        <f>301.6/13.4</f>
        <v>22.507462686567166</v>
      </c>
      <c r="I23" s="163"/>
      <c r="J23" s="164"/>
      <c r="K23" s="163"/>
      <c r="L23" s="163"/>
      <c r="M23" s="165"/>
      <c r="N23" s="165"/>
      <c r="O23" s="165"/>
      <c r="P23" s="165"/>
      <c r="Q23" s="165"/>
      <c r="R23" s="165"/>
      <c r="S23" s="165"/>
    </row>
    <row r="24" spans="1:19" x14ac:dyDescent="0.25">
      <c r="A24" s="183" t="s">
        <v>125</v>
      </c>
      <c r="B24" s="184">
        <v>2024</v>
      </c>
      <c r="C24" s="272">
        <f t="shared" ref="C24:H24" si="0">C23</f>
        <v>16.876666666666669</v>
      </c>
      <c r="D24" s="272">
        <f t="shared" si="0"/>
        <v>23.907792207792209</v>
      </c>
      <c r="E24" s="272">
        <f t="shared" si="0"/>
        <v>19.502617801047119</v>
      </c>
      <c r="F24" s="272">
        <f t="shared" si="0"/>
        <v>16.088000000000001</v>
      </c>
      <c r="G24" s="272">
        <f t="shared" si="0"/>
        <v>27.266666666666666</v>
      </c>
      <c r="H24" s="272">
        <f t="shared" si="0"/>
        <v>22.507462686567166</v>
      </c>
      <c r="I24" s="163"/>
      <c r="J24" s="164"/>
      <c r="K24" s="163"/>
      <c r="L24" s="163"/>
      <c r="M24" s="165"/>
      <c r="N24" s="165"/>
      <c r="O24" s="165"/>
      <c r="P24" s="165"/>
      <c r="Q24" s="165"/>
      <c r="R24" s="165"/>
      <c r="S24" s="165"/>
    </row>
    <row r="25" spans="1:19" ht="90" x14ac:dyDescent="0.25">
      <c r="A25" s="185" t="s">
        <v>154</v>
      </c>
      <c r="B25" s="184">
        <v>2024</v>
      </c>
      <c r="C25" s="163">
        <f>517/30</f>
        <v>17.233333333333334</v>
      </c>
      <c r="D25" s="163">
        <f>1879.8/77</f>
        <v>24.412987012987013</v>
      </c>
      <c r="E25" s="163">
        <f>380.5/19.1</f>
        <v>19.921465968586386</v>
      </c>
      <c r="F25" s="163">
        <f>821.3/50</f>
        <v>16.425999999999998</v>
      </c>
      <c r="G25" s="163">
        <f>209.2/7.5</f>
        <v>27.893333333333331</v>
      </c>
      <c r="H25" s="163">
        <f>307.9/13.4</f>
        <v>22.977611940298505</v>
      </c>
      <c r="I25" s="163"/>
      <c r="J25" s="163"/>
      <c r="K25" s="163">
        <f t="shared" ref="K25:S25" si="1">K31:Z31</f>
        <v>0</v>
      </c>
      <c r="L25" s="163">
        <f t="shared" si="1"/>
        <v>0</v>
      </c>
      <c r="M25" s="163">
        <f t="shared" si="1"/>
        <v>0</v>
      </c>
      <c r="N25" s="163">
        <f t="shared" si="1"/>
        <v>0</v>
      </c>
      <c r="O25" s="163">
        <f t="shared" si="1"/>
        <v>0</v>
      </c>
      <c r="P25" s="163">
        <f t="shared" si="1"/>
        <v>0</v>
      </c>
      <c r="Q25" s="163">
        <f t="shared" si="1"/>
        <v>0</v>
      </c>
      <c r="R25" s="163">
        <f t="shared" si="1"/>
        <v>0</v>
      </c>
      <c r="S25" s="163">
        <f t="shared" si="1"/>
        <v>0</v>
      </c>
    </row>
    <row r="26" spans="1:19" x14ac:dyDescent="0.25">
      <c r="A26" s="183" t="s">
        <v>126</v>
      </c>
      <c r="B26" s="184">
        <v>2024</v>
      </c>
      <c r="C26" s="163">
        <f>546.3/30</f>
        <v>18.209999999999997</v>
      </c>
      <c r="D26" s="163">
        <f>1986.1/77</f>
        <v>25.793506493506491</v>
      </c>
      <c r="E26" s="163">
        <f>268.1/19.1</f>
        <v>14.036649214659686</v>
      </c>
      <c r="F26" s="163">
        <f>868.1/50</f>
        <v>17.362000000000002</v>
      </c>
      <c r="G26" s="163">
        <f>220.5/7.5</f>
        <v>29.4</v>
      </c>
      <c r="H26" s="163">
        <f>216.4/8.9</f>
        <v>24.314606741573034</v>
      </c>
      <c r="I26" s="163"/>
      <c r="J26" s="164"/>
      <c r="K26" s="163"/>
      <c r="L26" s="163"/>
      <c r="M26" s="165"/>
      <c r="N26" s="165"/>
      <c r="O26" s="165"/>
      <c r="P26" s="165"/>
      <c r="Q26" s="165"/>
      <c r="R26" s="165"/>
      <c r="S26" s="165"/>
    </row>
    <row r="27" spans="1:19" x14ac:dyDescent="0.25">
      <c r="A27" s="183" t="s">
        <v>127</v>
      </c>
      <c r="B27" s="184">
        <v>2024</v>
      </c>
      <c r="C27" s="272">
        <f t="shared" ref="C27:H27" si="2">C28</f>
        <v>23.256666666666668</v>
      </c>
      <c r="D27" s="272">
        <f t="shared" si="2"/>
        <v>32.970129870129867</v>
      </c>
      <c r="E27" s="272">
        <f t="shared" si="2"/>
        <v>26.900523560209418</v>
      </c>
      <c r="F27" s="272">
        <f t="shared" si="2"/>
        <v>22.181999999999999</v>
      </c>
      <c r="G27" s="272">
        <f t="shared" si="2"/>
        <v>37.64</v>
      </c>
      <c r="H27" s="272">
        <f t="shared" si="2"/>
        <v>31.029850746268657</v>
      </c>
      <c r="I27" s="163"/>
      <c r="J27" s="164"/>
      <c r="K27" s="163"/>
      <c r="L27" s="163"/>
      <c r="M27" s="165"/>
      <c r="N27" s="165"/>
      <c r="O27" s="165"/>
      <c r="P27" s="165"/>
      <c r="Q27" s="165"/>
      <c r="R27" s="165"/>
      <c r="S27" s="165"/>
    </row>
    <row r="28" spans="1:19" x14ac:dyDescent="0.25">
      <c r="A28" s="183" t="s">
        <v>128</v>
      </c>
      <c r="B28" s="184">
        <v>2024</v>
      </c>
      <c r="C28" s="163">
        <f>697.7/30</f>
        <v>23.256666666666668</v>
      </c>
      <c r="D28" s="163">
        <f>2538.7/77</f>
        <v>32.970129870129867</v>
      </c>
      <c r="E28" s="163">
        <f>513.8/19.1</f>
        <v>26.900523560209418</v>
      </c>
      <c r="F28" s="163">
        <f>1109.1/50</f>
        <v>22.181999999999999</v>
      </c>
      <c r="G28" s="163">
        <f>282.3/7.5</f>
        <v>37.64</v>
      </c>
      <c r="H28" s="163">
        <f>415.8/13.4</f>
        <v>31.029850746268657</v>
      </c>
      <c r="I28" s="163"/>
      <c r="J28" s="164"/>
      <c r="K28" s="163"/>
      <c r="L28" s="163"/>
      <c r="M28" s="165"/>
      <c r="N28" s="165"/>
      <c r="O28" s="165"/>
      <c r="P28" s="165"/>
      <c r="Q28" s="165"/>
      <c r="R28" s="165"/>
      <c r="S28" s="165"/>
    </row>
    <row r="29" spans="1:19" ht="105" x14ac:dyDescent="0.25">
      <c r="A29" s="185" t="s">
        <v>129</v>
      </c>
      <c r="B29" s="184">
        <v>2024</v>
      </c>
      <c r="C29" s="163">
        <f>698.1/30</f>
        <v>23.27</v>
      </c>
      <c r="D29" s="163">
        <f>2538.7/77</f>
        <v>32.970129870129867</v>
      </c>
      <c r="E29" s="163">
        <f>395.3/19.1</f>
        <v>20.69633507853403</v>
      </c>
      <c r="F29" s="163">
        <f>1109.2/50</f>
        <v>22.184000000000001</v>
      </c>
      <c r="G29" s="163">
        <f>282.4/7.5</f>
        <v>37.653333333333329</v>
      </c>
      <c r="H29" s="163">
        <f>319.8/13.4</f>
        <v>23.865671641791046</v>
      </c>
      <c r="I29" s="163"/>
      <c r="J29" s="164"/>
      <c r="K29" s="163"/>
      <c r="L29" s="163"/>
      <c r="M29" s="165"/>
      <c r="N29" s="165"/>
      <c r="O29" s="165"/>
      <c r="P29" s="165"/>
      <c r="Q29" s="165"/>
      <c r="R29" s="165"/>
      <c r="S29" s="165"/>
    </row>
    <row r="30" spans="1:19" x14ac:dyDescent="0.25">
      <c r="A30" s="158" t="s">
        <v>79</v>
      </c>
      <c r="B30" s="159">
        <v>2023</v>
      </c>
      <c r="C30" s="160"/>
      <c r="D30" s="160"/>
      <c r="E30" s="160"/>
      <c r="F30" s="160"/>
      <c r="G30" s="160"/>
      <c r="H30" s="160"/>
      <c r="I30" s="160"/>
      <c r="J30" s="161"/>
      <c r="K30" s="160"/>
      <c r="L30" s="160"/>
      <c r="M30" s="162"/>
      <c r="N30" s="162"/>
      <c r="O30" s="162"/>
      <c r="P30" s="162"/>
      <c r="Q30" s="162"/>
      <c r="R30" s="162"/>
      <c r="S30" s="162"/>
    </row>
    <row r="31" spans="1:19" x14ac:dyDescent="0.25">
      <c r="A31" s="183" t="s">
        <v>79</v>
      </c>
      <c r="B31" s="184">
        <v>2024</v>
      </c>
      <c r="C31" s="163"/>
      <c r="D31" s="163"/>
      <c r="E31" s="163"/>
      <c r="F31" s="163"/>
      <c r="G31" s="163"/>
      <c r="H31" s="163"/>
      <c r="I31" s="163"/>
      <c r="J31" s="164"/>
      <c r="K31" s="163"/>
      <c r="L31" s="163"/>
      <c r="M31" s="165"/>
      <c r="N31" s="165"/>
      <c r="O31" s="165"/>
      <c r="P31" s="165"/>
      <c r="Q31" s="165"/>
      <c r="R31" s="165"/>
      <c r="S31" s="165"/>
    </row>
    <row r="32" spans="1:19" x14ac:dyDescent="0.25">
      <c r="A32" s="158" t="s">
        <v>80</v>
      </c>
      <c r="B32" s="159">
        <v>2023</v>
      </c>
      <c r="C32" s="160">
        <v>17.632999999999999</v>
      </c>
      <c r="D32" s="160">
        <v>24.978000000000002</v>
      </c>
      <c r="E32" s="160">
        <v>20.384</v>
      </c>
      <c r="F32" s="160">
        <v>16.808</v>
      </c>
      <c r="G32" s="160">
        <v>31.92</v>
      </c>
      <c r="H32" s="160"/>
      <c r="I32" s="160">
        <v>28.472999999999999</v>
      </c>
      <c r="J32" s="161">
        <v>31.92</v>
      </c>
      <c r="K32" s="160"/>
      <c r="L32" s="160"/>
      <c r="M32" s="162"/>
      <c r="N32" s="162"/>
      <c r="O32" s="162"/>
      <c r="P32" s="162"/>
      <c r="Q32" s="162"/>
      <c r="R32" s="162"/>
      <c r="S32" s="162"/>
    </row>
    <row r="33" spans="1:19" x14ac:dyDescent="0.25">
      <c r="A33" s="183" t="s">
        <v>80</v>
      </c>
      <c r="B33" s="184">
        <v>2024</v>
      </c>
      <c r="C33" s="163">
        <v>18.513999999999999</v>
      </c>
      <c r="D33" s="163">
        <v>26.227</v>
      </c>
      <c r="E33" s="163">
        <v>21.402999999999999</v>
      </c>
      <c r="F33" s="163">
        <v>17.648</v>
      </c>
      <c r="G33" s="163">
        <v>0</v>
      </c>
      <c r="H33" s="163">
        <v>0</v>
      </c>
      <c r="I33" s="163">
        <v>29.896999999999998</v>
      </c>
      <c r="J33" s="164">
        <v>33.515999999999998</v>
      </c>
      <c r="K33" s="163"/>
      <c r="L33" s="163"/>
      <c r="M33" s="165"/>
      <c r="N33" s="165"/>
      <c r="O33" s="165"/>
      <c r="P33" s="165"/>
      <c r="Q33" s="165"/>
      <c r="R33" s="165"/>
      <c r="S33" s="165"/>
    </row>
    <row r="34" spans="1:19" x14ac:dyDescent="0.25">
      <c r="A34" s="158" t="s">
        <v>182</v>
      </c>
      <c r="B34" s="159">
        <v>2023</v>
      </c>
      <c r="C34" s="160">
        <v>17.43</v>
      </c>
      <c r="D34" s="160">
        <v>24.78</v>
      </c>
      <c r="E34" s="160">
        <v>20.059999999999999</v>
      </c>
      <c r="F34" s="160">
        <v>16.7</v>
      </c>
      <c r="G34" s="160">
        <v>0</v>
      </c>
      <c r="H34" s="160">
        <v>23.37</v>
      </c>
      <c r="I34" s="160"/>
      <c r="J34" s="161"/>
      <c r="K34" s="160"/>
      <c r="L34" s="160"/>
      <c r="M34" s="162"/>
      <c r="N34" s="162"/>
      <c r="O34" s="162"/>
      <c r="P34" s="162"/>
      <c r="Q34" s="162"/>
      <c r="R34" s="162"/>
      <c r="S34" s="162"/>
    </row>
    <row r="35" spans="1:19" x14ac:dyDescent="0.25">
      <c r="A35" s="183" t="s">
        <v>182</v>
      </c>
      <c r="B35" s="184">
        <v>2024</v>
      </c>
      <c r="C35" s="163">
        <f>519.2/30</f>
        <v>17.306666666666668</v>
      </c>
      <c r="D35" s="163">
        <f>1887.1/77</f>
        <v>24.507792207792207</v>
      </c>
      <c r="E35" s="163">
        <f>254.5/19.1</f>
        <v>13.32460732984293</v>
      </c>
      <c r="F35" s="163">
        <f>824.6/50</f>
        <v>16.492000000000001</v>
      </c>
      <c r="G35" s="163">
        <f>209.6/7.5</f>
        <v>27.946666666666665</v>
      </c>
      <c r="H35" s="163">
        <f>205.4/13.4</f>
        <v>15.328358208955224</v>
      </c>
      <c r="I35" s="163"/>
      <c r="J35" s="164"/>
      <c r="K35" s="163"/>
      <c r="L35" s="163"/>
      <c r="M35" s="165"/>
      <c r="N35" s="165"/>
      <c r="O35" s="165"/>
      <c r="P35" s="165"/>
      <c r="Q35" s="165"/>
      <c r="R35" s="165"/>
      <c r="S35" s="165"/>
    </row>
    <row r="36" spans="1:19" x14ac:dyDescent="0.25">
      <c r="A36" s="158" t="s">
        <v>130</v>
      </c>
      <c r="B36" s="159">
        <v>2023</v>
      </c>
      <c r="C36" s="248">
        <v>17.09</v>
      </c>
      <c r="D36" s="160">
        <v>24.216531051886498</v>
      </c>
      <c r="E36" s="160">
        <v>13.178010471204187</v>
      </c>
      <c r="F36" s="160">
        <v>16.297999999999998</v>
      </c>
      <c r="G36" s="160">
        <v>27.6</v>
      </c>
      <c r="H36" s="160">
        <v>14.970149253731343</v>
      </c>
      <c r="I36" s="160"/>
      <c r="J36" s="161"/>
      <c r="K36" s="160"/>
      <c r="L36" s="160"/>
      <c r="M36" s="162"/>
      <c r="N36" s="162"/>
      <c r="O36" s="162"/>
      <c r="P36" s="162"/>
      <c r="Q36" s="162"/>
      <c r="R36" s="162"/>
      <c r="S36" s="162"/>
    </row>
    <row r="37" spans="1:19" x14ac:dyDescent="0.25">
      <c r="A37" s="183" t="s">
        <v>130</v>
      </c>
      <c r="B37" s="184">
        <v>2024</v>
      </c>
      <c r="C37" s="249">
        <f>535.8/30</f>
        <v>17.86</v>
      </c>
      <c r="D37" s="163">
        <f>C37/C36*D36</f>
        <v>25.307621099279864</v>
      </c>
      <c r="E37" s="163">
        <f>263/19.1</f>
        <v>13.769633507853403</v>
      </c>
      <c r="F37" s="163">
        <f>851.6/50</f>
        <v>17.032</v>
      </c>
      <c r="G37" s="163"/>
      <c r="H37" s="163">
        <f>206.6/13.4</f>
        <v>15.417910447761193</v>
      </c>
      <c r="I37" s="163"/>
      <c r="J37" s="164"/>
      <c r="K37" s="163"/>
      <c r="L37" s="163"/>
      <c r="M37" s="165"/>
      <c r="N37" s="165"/>
      <c r="O37" s="165"/>
      <c r="P37" s="165"/>
      <c r="Q37" s="165"/>
      <c r="R37" s="165"/>
      <c r="S37" s="165"/>
    </row>
    <row r="38" spans="1:19" x14ac:dyDescent="0.25">
      <c r="A38" s="158" t="s">
        <v>131</v>
      </c>
      <c r="B38" s="159">
        <v>2023</v>
      </c>
      <c r="C38" s="248">
        <v>17.45</v>
      </c>
      <c r="D38" s="160">
        <v>24.56753246753247</v>
      </c>
      <c r="E38" s="160">
        <v>19.840413265394016</v>
      </c>
      <c r="F38" s="160">
        <v>16.532</v>
      </c>
      <c r="G38" s="160">
        <v>28.181333333333335</v>
      </c>
      <c r="H38" s="160">
        <v>20.544776119402986</v>
      </c>
      <c r="I38" s="160"/>
      <c r="J38" s="161"/>
      <c r="K38" s="160"/>
      <c r="L38" s="160"/>
      <c r="M38" s="162"/>
      <c r="N38" s="162"/>
      <c r="O38" s="162"/>
      <c r="P38" s="162"/>
      <c r="Q38" s="162"/>
      <c r="R38" s="162"/>
      <c r="S38" s="162"/>
    </row>
    <row r="39" spans="1:19" x14ac:dyDescent="0.25">
      <c r="A39" s="183" t="s">
        <v>131</v>
      </c>
      <c r="B39" s="184">
        <v>2024</v>
      </c>
      <c r="C39" s="249">
        <f>549.7/30</f>
        <v>18.323333333333334</v>
      </c>
      <c r="D39" s="163">
        <f>1986.3/77</f>
        <v>25.796103896103894</v>
      </c>
      <c r="E39" s="163">
        <f>347.2/19.1</f>
        <v>18.178010471204185</v>
      </c>
      <c r="F39" s="163">
        <v>17.36</v>
      </c>
      <c r="G39" s="163"/>
      <c r="H39" s="163">
        <f>280.8/13.4</f>
        <v>20.955223880597014</v>
      </c>
      <c r="I39" s="163"/>
      <c r="J39" s="164"/>
      <c r="K39" s="163"/>
      <c r="L39" s="163"/>
      <c r="M39" s="165"/>
      <c r="N39" s="165"/>
      <c r="O39" s="165"/>
      <c r="P39" s="165"/>
      <c r="Q39" s="165"/>
      <c r="R39" s="165"/>
      <c r="S39" s="165"/>
    </row>
    <row r="40" spans="1:19" x14ac:dyDescent="0.25">
      <c r="A40" s="158" t="s">
        <v>132</v>
      </c>
      <c r="B40" s="159">
        <v>2023</v>
      </c>
      <c r="C40" s="248">
        <v>16.678999999999998</v>
      </c>
      <c r="D40" s="160">
        <v>23.626999999999999</v>
      </c>
      <c r="E40" s="160">
        <v>19.280999999999999</v>
      </c>
      <c r="F40" s="160">
        <v>15.898</v>
      </c>
      <c r="G40" s="160">
        <v>0</v>
      </c>
      <c r="H40" s="160">
        <v>22.236999999999998</v>
      </c>
      <c r="I40" s="160">
        <v>26.931999999999999</v>
      </c>
      <c r="J40" s="161">
        <v>30.193000000000001</v>
      </c>
      <c r="K40" s="160"/>
      <c r="L40" s="160"/>
      <c r="M40" s="162"/>
      <c r="N40" s="162"/>
      <c r="O40" s="162"/>
      <c r="P40" s="162"/>
      <c r="Q40" s="162"/>
      <c r="R40" s="162"/>
      <c r="S40" s="162"/>
    </row>
    <row r="41" spans="1:19" x14ac:dyDescent="0.25">
      <c r="A41" s="183" t="s">
        <v>132</v>
      </c>
      <c r="B41" s="184">
        <v>2024</v>
      </c>
      <c r="C41" s="249">
        <v>17.579000000000001</v>
      </c>
      <c r="D41" s="163">
        <v>24.902000000000001</v>
      </c>
      <c r="E41" s="163">
        <v>20.321999999999999</v>
      </c>
      <c r="F41" s="163">
        <v>16.757000000000001</v>
      </c>
      <c r="G41" s="163">
        <v>0</v>
      </c>
      <c r="H41" s="163">
        <v>23.437999999999999</v>
      </c>
      <c r="I41" s="163">
        <v>28.387</v>
      </c>
      <c r="J41" s="164">
        <v>31.823</v>
      </c>
      <c r="K41" s="163"/>
      <c r="L41" s="163"/>
      <c r="M41" s="165"/>
      <c r="N41" s="165"/>
      <c r="O41" s="165"/>
      <c r="P41" s="165"/>
      <c r="Q41" s="165"/>
      <c r="R41" s="165"/>
      <c r="S41" s="165"/>
    </row>
    <row r="42" spans="1:19" x14ac:dyDescent="0.25">
      <c r="A42" s="158" t="s">
        <v>133</v>
      </c>
      <c r="B42" s="159">
        <v>2023</v>
      </c>
      <c r="C42" s="248">
        <v>63.982999999999997</v>
      </c>
      <c r="D42" s="167"/>
      <c r="E42" s="167"/>
      <c r="F42" s="167"/>
      <c r="G42" s="167"/>
      <c r="H42" s="167"/>
      <c r="I42" s="167"/>
      <c r="J42" s="161"/>
      <c r="K42" s="168">
        <v>54.592568799683171</v>
      </c>
      <c r="L42" s="168">
        <v>54.277453658732945</v>
      </c>
      <c r="M42" s="186">
        <v>1112676.9217453124</v>
      </c>
      <c r="N42" s="186">
        <v>155</v>
      </c>
      <c r="O42" s="186">
        <v>282</v>
      </c>
      <c r="P42" s="186">
        <v>267</v>
      </c>
      <c r="Q42" s="186">
        <v>462</v>
      </c>
      <c r="R42" s="186">
        <v>447</v>
      </c>
      <c r="S42" s="186"/>
    </row>
    <row r="43" spans="1:19" x14ac:dyDescent="0.25">
      <c r="A43" s="183" t="s">
        <v>133</v>
      </c>
      <c r="B43" s="184">
        <v>2024</v>
      </c>
      <c r="C43" s="222">
        <f>C42*1.065</f>
        <v>68.141894999999991</v>
      </c>
      <c r="D43" s="187"/>
      <c r="E43" s="187"/>
      <c r="F43" s="187"/>
      <c r="G43" s="187"/>
      <c r="H43" s="187"/>
      <c r="I43" s="187"/>
      <c r="J43" s="164"/>
      <c r="K43" s="169">
        <f>($M43/$N43+O43*$C43)/Q43</f>
        <v>57.13111509838447</v>
      </c>
      <c r="L43" s="169">
        <f>($M43/$N43+P43*$C43)/R43</f>
        <v>56.761625839940997</v>
      </c>
      <c r="M43" s="188">
        <f>675300*1.15*1.125*1.125*1.07*1.058</f>
        <v>1112676.9217453124</v>
      </c>
      <c r="N43" s="271">
        <v>155</v>
      </c>
      <c r="O43" s="271">
        <v>282</v>
      </c>
      <c r="P43" s="271">
        <v>267</v>
      </c>
      <c r="Q43" s="271">
        <v>462</v>
      </c>
      <c r="R43" s="271">
        <v>447</v>
      </c>
      <c r="S43" s="165"/>
    </row>
    <row r="44" spans="1:19" x14ac:dyDescent="0.25">
      <c r="A44" s="158" t="s">
        <v>134</v>
      </c>
      <c r="B44" s="159">
        <v>2023</v>
      </c>
      <c r="C44" s="248">
        <v>55.015999999999998</v>
      </c>
      <c r="D44" s="167"/>
      <c r="E44" s="167"/>
      <c r="F44" s="167"/>
      <c r="G44" s="167"/>
      <c r="H44" s="167"/>
      <c r="I44" s="167"/>
      <c r="J44" s="161"/>
      <c r="K44" s="160"/>
      <c r="L44" s="160"/>
      <c r="M44" s="162"/>
      <c r="N44" s="162"/>
      <c r="O44" s="162"/>
      <c r="P44" s="162"/>
      <c r="Q44" s="162"/>
      <c r="R44" s="162"/>
      <c r="S44" s="162"/>
    </row>
    <row r="45" spans="1:19" x14ac:dyDescent="0.25">
      <c r="A45" s="183" t="s">
        <v>134</v>
      </c>
      <c r="B45" s="184">
        <v>2024</v>
      </c>
      <c r="C45" s="222">
        <f>C44*1.065</f>
        <v>58.592039999999997</v>
      </c>
      <c r="D45" s="187"/>
      <c r="E45" s="187"/>
      <c r="F45" s="187"/>
      <c r="G45" s="187"/>
      <c r="H45" s="187"/>
      <c r="I45" s="187"/>
      <c r="J45" s="164"/>
      <c r="K45" s="163"/>
      <c r="L45" s="163"/>
      <c r="M45" s="165"/>
      <c r="N45" s="165"/>
      <c r="O45" s="165"/>
      <c r="P45" s="165"/>
      <c r="Q45" s="165"/>
      <c r="R45" s="165"/>
      <c r="S45" s="165"/>
    </row>
    <row r="46" spans="1:19" x14ac:dyDescent="0.25">
      <c r="A46" s="158" t="s">
        <v>135</v>
      </c>
      <c r="B46" s="159">
        <v>2023</v>
      </c>
      <c r="C46" s="248">
        <v>50.256999999999998</v>
      </c>
      <c r="D46" s="167"/>
      <c r="E46" s="167"/>
      <c r="F46" s="167"/>
      <c r="G46" s="167"/>
      <c r="H46" s="167"/>
      <c r="I46" s="167"/>
      <c r="J46" s="161"/>
      <c r="K46" s="168">
        <v>46.214361007475389</v>
      </c>
      <c r="L46" s="168">
        <v>46.078701980880595</v>
      </c>
      <c r="M46" s="186">
        <v>1112676.9217453124</v>
      </c>
      <c r="N46" s="186">
        <v>155</v>
      </c>
      <c r="O46" s="186">
        <v>282</v>
      </c>
      <c r="P46" s="186">
        <v>267</v>
      </c>
      <c r="Q46" s="186">
        <v>462</v>
      </c>
      <c r="R46" s="186">
        <v>447</v>
      </c>
      <c r="S46" s="186"/>
    </row>
    <row r="47" spans="1:19" x14ac:dyDescent="0.25">
      <c r="A47" s="183" t="s">
        <v>135</v>
      </c>
      <c r="B47" s="184">
        <v>2024</v>
      </c>
      <c r="C47" s="222">
        <f>C46*1.065</f>
        <v>53.523704999999993</v>
      </c>
      <c r="D47" s="187"/>
      <c r="E47" s="187"/>
      <c r="F47" s="187"/>
      <c r="G47" s="187"/>
      <c r="H47" s="187"/>
      <c r="I47" s="187"/>
      <c r="J47" s="164"/>
      <c r="K47" s="169">
        <f>($M47/$N47+O47*$C47)/Q47</f>
        <v>48.208323799683178</v>
      </c>
      <c r="L47" s="169">
        <f>($M47/$N47+P47*$C47)/R47</f>
        <v>48.029955303028245</v>
      </c>
      <c r="M47" s="271">
        <f>M43</f>
        <v>1112676.9217453124</v>
      </c>
      <c r="N47" s="271">
        <v>155</v>
      </c>
      <c r="O47" s="271">
        <v>282</v>
      </c>
      <c r="P47" s="271">
        <v>267</v>
      </c>
      <c r="Q47" s="271">
        <v>462</v>
      </c>
      <c r="R47" s="271">
        <v>447</v>
      </c>
      <c r="S47" s="165"/>
    </row>
    <row r="48" spans="1:19" x14ac:dyDescent="0.25">
      <c r="A48" s="172"/>
      <c r="B48" s="173"/>
      <c r="C48" s="174"/>
      <c r="D48" s="174"/>
      <c r="E48" s="174"/>
      <c r="F48" s="174"/>
      <c r="G48" s="174"/>
      <c r="H48" s="174"/>
      <c r="I48" s="174"/>
      <c r="J48" s="189"/>
      <c r="K48" s="175"/>
      <c r="L48" s="175"/>
      <c r="M48" s="190"/>
      <c r="N48" s="190"/>
      <c r="O48" s="190"/>
      <c r="P48" s="190"/>
      <c r="Q48" s="190"/>
      <c r="R48" s="190"/>
      <c r="S48" s="190"/>
    </row>
    <row r="49" spans="1:19" x14ac:dyDescent="0.25">
      <c r="A49" s="158" t="s">
        <v>145</v>
      </c>
      <c r="B49" s="159">
        <v>2023</v>
      </c>
      <c r="C49" s="160"/>
      <c r="D49" s="160"/>
      <c r="E49" s="160"/>
      <c r="F49" s="160"/>
      <c r="G49" s="160"/>
      <c r="H49" s="160"/>
      <c r="I49" s="167"/>
      <c r="J49" s="161"/>
      <c r="K49" s="160"/>
      <c r="L49" s="160"/>
      <c r="M49" s="162"/>
      <c r="N49" s="162"/>
      <c r="O49" s="162"/>
      <c r="P49" s="162"/>
      <c r="Q49" s="162"/>
      <c r="R49" s="162"/>
      <c r="S49" s="162"/>
    </row>
    <row r="50" spans="1:19" x14ac:dyDescent="0.25">
      <c r="A50" s="183" t="s">
        <v>145</v>
      </c>
      <c r="B50" s="184">
        <v>2024</v>
      </c>
      <c r="C50" s="163"/>
      <c r="D50" s="163"/>
      <c r="E50" s="163"/>
      <c r="F50" s="163"/>
      <c r="G50" s="163"/>
      <c r="H50" s="163"/>
      <c r="I50" s="187"/>
      <c r="J50" s="164"/>
      <c r="K50" s="163"/>
      <c r="L50" s="163"/>
      <c r="M50" s="165"/>
      <c r="N50" s="165"/>
      <c r="O50" s="165"/>
      <c r="P50" s="165"/>
      <c r="Q50" s="165"/>
      <c r="R50" s="165"/>
      <c r="S50" s="165"/>
    </row>
    <row r="51" spans="1:19" x14ac:dyDescent="0.25">
      <c r="A51" s="158" t="s">
        <v>146</v>
      </c>
      <c r="B51" s="159">
        <v>2023</v>
      </c>
      <c r="C51" s="160"/>
      <c r="D51" s="160"/>
      <c r="E51" s="160"/>
      <c r="F51" s="160"/>
      <c r="G51" s="160"/>
      <c r="H51" s="160"/>
      <c r="I51" s="167"/>
      <c r="J51" s="161"/>
      <c r="K51" s="160"/>
      <c r="L51" s="160"/>
      <c r="M51" s="162"/>
      <c r="N51" s="162"/>
      <c r="O51" s="162"/>
      <c r="P51" s="162"/>
      <c r="Q51" s="162"/>
      <c r="R51" s="162"/>
      <c r="S51" s="162"/>
    </row>
    <row r="52" spans="1:19" x14ac:dyDescent="0.25">
      <c r="A52" s="183" t="s">
        <v>146</v>
      </c>
      <c r="B52" s="184">
        <v>2024</v>
      </c>
      <c r="C52" s="163"/>
      <c r="D52" s="163"/>
      <c r="E52" s="163"/>
      <c r="F52" s="163"/>
      <c r="G52" s="163"/>
      <c r="H52" s="163"/>
      <c r="I52" s="187"/>
      <c r="J52" s="164"/>
      <c r="K52" s="163"/>
      <c r="L52" s="163"/>
      <c r="M52" s="165"/>
      <c r="N52" s="165"/>
      <c r="O52" s="165"/>
      <c r="P52" s="165"/>
      <c r="Q52" s="165"/>
      <c r="R52" s="165"/>
      <c r="S52" s="165"/>
    </row>
    <row r="53" spans="1:19" x14ac:dyDescent="0.25">
      <c r="A53" s="158" t="s">
        <v>147</v>
      </c>
      <c r="B53" s="159">
        <v>2023</v>
      </c>
      <c r="C53" s="160"/>
      <c r="D53" s="160"/>
      <c r="E53" s="160"/>
      <c r="F53" s="160"/>
      <c r="G53" s="160"/>
      <c r="H53" s="160"/>
      <c r="I53" s="167"/>
      <c r="J53" s="161"/>
      <c r="K53" s="160"/>
      <c r="L53" s="160"/>
      <c r="M53" s="162"/>
      <c r="N53" s="162"/>
      <c r="O53" s="162"/>
      <c r="P53" s="162"/>
      <c r="Q53" s="162"/>
      <c r="R53" s="162"/>
      <c r="S53" s="162">
        <v>15.337</v>
      </c>
    </row>
    <row r="54" spans="1:19" x14ac:dyDescent="0.25">
      <c r="A54" s="183" t="s">
        <v>147</v>
      </c>
      <c r="B54" s="184">
        <v>2024</v>
      </c>
      <c r="C54" s="163"/>
      <c r="D54" s="163"/>
      <c r="E54" s="163"/>
      <c r="F54" s="163"/>
      <c r="G54" s="163"/>
      <c r="H54" s="163"/>
      <c r="I54" s="187"/>
      <c r="J54" s="164"/>
      <c r="K54" s="163"/>
      <c r="L54" s="163"/>
      <c r="M54" s="165"/>
      <c r="N54" s="165"/>
      <c r="O54" s="165"/>
      <c r="P54" s="165"/>
      <c r="Q54" s="165"/>
      <c r="R54" s="165"/>
      <c r="S54" s="163">
        <f>484/30</f>
        <v>16.133333333333333</v>
      </c>
    </row>
    <row r="55" spans="1:19" x14ac:dyDescent="0.25">
      <c r="A55" s="158" t="s">
        <v>148</v>
      </c>
      <c r="B55" s="159">
        <v>2023</v>
      </c>
      <c r="C55" s="160"/>
      <c r="D55" s="160"/>
      <c r="E55" s="160"/>
      <c r="F55" s="160"/>
      <c r="G55" s="160"/>
      <c r="H55" s="160"/>
      <c r="I55" s="167"/>
      <c r="J55" s="161"/>
      <c r="K55" s="160"/>
      <c r="L55" s="160"/>
      <c r="M55" s="162"/>
      <c r="N55" s="162"/>
      <c r="O55" s="162"/>
      <c r="P55" s="162"/>
      <c r="Q55" s="162"/>
      <c r="R55" s="162"/>
      <c r="S55" s="162">
        <v>16.34</v>
      </c>
    </row>
    <row r="56" spans="1:19" x14ac:dyDescent="0.25">
      <c r="A56" s="183" t="s">
        <v>148</v>
      </c>
      <c r="B56" s="184">
        <v>2024</v>
      </c>
      <c r="C56" s="163"/>
      <c r="D56" s="163"/>
      <c r="E56" s="163"/>
      <c r="F56" s="163"/>
      <c r="G56" s="163"/>
      <c r="H56" s="163"/>
      <c r="I56" s="187"/>
      <c r="J56" s="164"/>
      <c r="K56" s="163"/>
      <c r="L56" s="163"/>
      <c r="M56" s="165"/>
      <c r="N56" s="165"/>
      <c r="O56" s="165"/>
      <c r="P56" s="165"/>
      <c r="Q56" s="165"/>
      <c r="R56" s="165"/>
      <c r="S56" s="163">
        <f>515.7/30</f>
        <v>17.190000000000001</v>
      </c>
    </row>
    <row r="57" spans="1:19" x14ac:dyDescent="0.25">
      <c r="A57" s="176"/>
      <c r="B57" s="177"/>
      <c r="C57" s="178"/>
      <c r="D57" s="178"/>
      <c r="E57" s="178"/>
      <c r="F57" s="178"/>
      <c r="G57" s="178"/>
      <c r="H57" s="178"/>
      <c r="I57" s="178"/>
      <c r="J57" s="191"/>
      <c r="K57" s="179"/>
      <c r="L57" s="179"/>
      <c r="M57" s="192"/>
      <c r="N57" s="192"/>
      <c r="O57" s="192"/>
      <c r="P57" s="192"/>
      <c r="Q57" s="192"/>
      <c r="R57" s="192"/>
      <c r="S57" s="192"/>
    </row>
    <row r="58" spans="1:19" ht="45" x14ac:dyDescent="0.25">
      <c r="A58" s="166" t="s">
        <v>155</v>
      </c>
      <c r="B58" s="159">
        <v>2023</v>
      </c>
      <c r="C58" s="160">
        <v>22.086666666666666</v>
      </c>
      <c r="D58" s="160">
        <v>24.062337662337661</v>
      </c>
      <c r="E58" s="160">
        <v>19.633507853403138</v>
      </c>
      <c r="F58" s="160">
        <v>21.05</v>
      </c>
      <c r="G58" s="160">
        <v>27.466666666666665</v>
      </c>
      <c r="H58" s="160">
        <v>22.641791044776117</v>
      </c>
      <c r="I58" s="167"/>
      <c r="J58" s="161"/>
      <c r="K58" s="160"/>
      <c r="L58" s="160"/>
      <c r="M58" s="162"/>
      <c r="N58" s="162"/>
      <c r="O58" s="162"/>
      <c r="P58" s="162"/>
      <c r="Q58" s="162"/>
      <c r="R58" s="162"/>
      <c r="S58" s="162"/>
    </row>
    <row r="59" spans="1:19" ht="45" x14ac:dyDescent="0.25">
      <c r="A59" s="185" t="s">
        <v>155</v>
      </c>
      <c r="B59" s="184">
        <v>2024</v>
      </c>
      <c r="C59" s="163">
        <f>698.4/30</f>
        <v>23.279999999999998</v>
      </c>
      <c r="D59" s="163">
        <f>1952.9/77</f>
        <v>25.362337662337662</v>
      </c>
      <c r="E59" s="163">
        <f>395.3/19.1</f>
        <v>20.69633507853403</v>
      </c>
      <c r="F59" s="163">
        <f>1109.3/50</f>
        <v>22.186</v>
      </c>
      <c r="G59" s="163">
        <f>217.1/7.5</f>
        <v>28.946666666666665</v>
      </c>
      <c r="H59" s="163">
        <f>319.8/13.4</f>
        <v>23.865671641791046</v>
      </c>
      <c r="I59" s="187"/>
      <c r="J59" s="164"/>
      <c r="K59" s="163"/>
      <c r="L59" s="163"/>
      <c r="M59" s="165"/>
      <c r="N59" s="165"/>
      <c r="O59" s="165"/>
      <c r="P59" s="165"/>
      <c r="Q59" s="165"/>
      <c r="R59" s="165"/>
      <c r="S59" s="163"/>
    </row>
    <row r="60" spans="1:19" x14ac:dyDescent="0.25">
      <c r="A60" s="176"/>
      <c r="B60" s="177"/>
      <c r="C60" s="178"/>
      <c r="D60" s="178"/>
      <c r="E60" s="178"/>
      <c r="F60" s="178"/>
      <c r="G60" s="178"/>
      <c r="H60" s="178"/>
      <c r="I60" s="178"/>
      <c r="J60" s="191"/>
      <c r="K60" s="179"/>
      <c r="L60" s="179"/>
      <c r="M60" s="192"/>
      <c r="N60" s="192"/>
      <c r="O60" s="192"/>
      <c r="P60" s="192"/>
      <c r="Q60" s="192"/>
      <c r="R60" s="192"/>
      <c r="S60" s="192"/>
    </row>
    <row r="61" spans="1:19" x14ac:dyDescent="0.25">
      <c r="A61" s="158" t="s">
        <v>183</v>
      </c>
      <c r="B61" s="159">
        <v>2023</v>
      </c>
      <c r="C61" s="160">
        <v>16.71</v>
      </c>
      <c r="D61" s="160">
        <v>23.77</v>
      </c>
      <c r="E61" s="160">
        <v>19.25</v>
      </c>
      <c r="F61" s="160">
        <v>16.010000000000002</v>
      </c>
      <c r="G61" s="160">
        <v>0</v>
      </c>
      <c r="H61" s="160">
        <v>21.18</v>
      </c>
      <c r="I61" s="160"/>
      <c r="J61" s="161"/>
      <c r="K61" s="160"/>
      <c r="L61" s="160"/>
      <c r="M61" s="162"/>
      <c r="N61" s="162"/>
      <c r="O61" s="162"/>
      <c r="P61" s="162"/>
      <c r="Q61" s="162"/>
      <c r="R61" s="162"/>
      <c r="S61" s="162"/>
    </row>
    <row r="62" spans="1:19" x14ac:dyDescent="0.25">
      <c r="A62" s="183" t="s">
        <v>183</v>
      </c>
      <c r="B62" s="184">
        <v>2024</v>
      </c>
      <c r="C62" s="163"/>
      <c r="D62" s="163"/>
      <c r="E62" s="163"/>
      <c r="F62" s="163"/>
      <c r="G62" s="163"/>
      <c r="H62" s="163"/>
      <c r="I62" s="163"/>
      <c r="J62" s="164"/>
      <c r="K62" s="163"/>
      <c r="L62" s="163"/>
      <c r="M62" s="165"/>
      <c r="N62" s="165"/>
      <c r="O62" s="165"/>
      <c r="P62" s="165"/>
      <c r="Q62" s="165"/>
      <c r="R62" s="165"/>
      <c r="S62" s="165"/>
    </row>
    <row r="63" spans="1:19" x14ac:dyDescent="0.25">
      <c r="A63" s="158" t="s">
        <v>204</v>
      </c>
      <c r="B63" s="159">
        <v>2023</v>
      </c>
      <c r="C63" s="160">
        <v>17.125999999999998</v>
      </c>
      <c r="D63" s="160">
        <v>24.714025974025976</v>
      </c>
      <c r="E63" s="160">
        <v>14.412041884816752</v>
      </c>
      <c r="F63" s="160">
        <v>16.323</v>
      </c>
      <c r="G63" s="160">
        <v>30.776</v>
      </c>
      <c r="H63" s="160">
        <v>21.623595505617974</v>
      </c>
      <c r="I63" s="160"/>
      <c r="J63" s="161"/>
      <c r="K63" s="160"/>
      <c r="L63" s="160"/>
      <c r="M63" s="162"/>
      <c r="N63" s="162"/>
      <c r="O63" s="162"/>
      <c r="P63" s="162"/>
      <c r="Q63" s="162"/>
      <c r="R63" s="162"/>
      <c r="S63" s="162"/>
    </row>
    <row r="64" spans="1:19" x14ac:dyDescent="0.25">
      <c r="A64" s="183" t="s">
        <v>204</v>
      </c>
      <c r="B64" s="184">
        <v>2023</v>
      </c>
      <c r="C64" s="163">
        <v>18.07</v>
      </c>
      <c r="D64" s="163">
        <v>26.07</v>
      </c>
      <c r="E64" s="163"/>
      <c r="F64" s="163">
        <v>17.22</v>
      </c>
      <c r="G64" s="163"/>
      <c r="H64" s="163"/>
      <c r="I64" s="163"/>
      <c r="J64" s="164"/>
      <c r="K64" s="163"/>
      <c r="L64" s="163"/>
      <c r="M64" s="165"/>
      <c r="N64" s="165"/>
      <c r="O64" s="165"/>
      <c r="P64" s="165"/>
      <c r="Q64" s="165"/>
      <c r="R64" s="165"/>
      <c r="S64" s="165"/>
    </row>
  </sheetData>
  <sheetProtection algorithmName="SHA-512" hashValue="Uli46NwQ29qJfxd8g2ZmywzmrJczUKEQzLRkXftgimVZWs9GJWwkXFGrCDpZ2c/qn5NoHxothOdIAI0H7hmiKA==" saltValue="o+kGUpOHjxXpeHSRMtirw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Kotze</cp:lastModifiedBy>
  <cp:lastPrinted>2023-02-06T11:36:08Z</cp:lastPrinted>
  <dcterms:created xsi:type="dcterms:W3CDTF">2007-01-02T12:57:15Z</dcterms:created>
  <dcterms:modified xsi:type="dcterms:W3CDTF">2024-03-05T21:37:38Z</dcterms:modified>
</cp:coreProperties>
</file>