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Peet\Documents\Tariffs\Tariffs 2024\HealthMan\"/>
    </mc:Choice>
  </mc:AlternateContent>
  <xr:revisionPtr revIDLastSave="0" documentId="13_ncr:1_{8872F72D-4754-4965-A137-98656040DFA9}" xr6:coauthVersionLast="47" xr6:coauthVersionMax="47" xr10:uidLastSave="{00000000-0000-0000-0000-000000000000}"/>
  <bookViews>
    <workbookView xWindow="-19800" yWindow="180" windowWidth="18960" windowHeight="10425" xr2:uid="{00000000-000D-0000-FFFF-FFFF00000000}"/>
  </bookViews>
  <sheets>
    <sheet name="PAEDS Comparitive Tariffs" sheetId="1" r:id="rId1"/>
    <sheet name="RCFs" sheetId="2" r:id="rId2"/>
  </sheets>
  <externalReferences>
    <externalReference r:id="rId3"/>
  </externalReferences>
  <definedNames>
    <definedName name="_xlnm._FilterDatabase" localSheetId="1" hidden="1">RCFs!$A$3:$R$47</definedName>
    <definedName name="PredDLR">[1]Parameters!$C$45</definedName>
    <definedName name="PredOHR">[1]Parameters!$C$38</definedName>
    <definedName name="_xlnm.Print_Area" localSheetId="0">'PAEDS Comparitive Tariffs'!$A$1:$BB$142</definedName>
    <definedName name="_xlnm.Print_Titles" localSheetId="0">'PAEDS Comparitive Tariffs'!$A:$E,'PAEDS Comparitive Tariffs'!$1:$7</definedName>
    <definedName name="VAT">[1]Parameters!$C$20</definedName>
  </definedNames>
  <calcPr calcId="181029"/>
</workbook>
</file>

<file path=xl/calcChain.xml><?xml version="1.0" encoding="utf-8"?>
<calcChain xmlns="http://schemas.openxmlformats.org/spreadsheetml/2006/main">
  <c r="X26" i="1" l="1"/>
  <c r="H59" i="2" l="1"/>
  <c r="G59" i="2"/>
  <c r="F59" i="2"/>
  <c r="E59" i="2"/>
  <c r="D59" i="2"/>
  <c r="C59" i="2"/>
  <c r="S56" i="2"/>
  <c r="S54" i="2"/>
  <c r="C47" i="2"/>
  <c r="C45" i="2"/>
  <c r="M43" i="2"/>
  <c r="M47" i="2" s="1"/>
  <c r="C43" i="2"/>
  <c r="H39" i="2"/>
  <c r="E39" i="2"/>
  <c r="D39" i="2"/>
  <c r="C39" i="2"/>
  <c r="H37" i="2"/>
  <c r="F37" i="2"/>
  <c r="E37" i="2"/>
  <c r="C37" i="2"/>
  <c r="D37" i="2" s="1"/>
  <c r="H35" i="2"/>
  <c r="G35" i="2"/>
  <c r="F35" i="2"/>
  <c r="E35" i="2"/>
  <c r="D35" i="2"/>
  <c r="C35" i="2"/>
  <c r="H29" i="2"/>
  <c r="G29" i="2"/>
  <c r="F29" i="2"/>
  <c r="E29" i="2"/>
  <c r="D29" i="2"/>
  <c r="C29" i="2"/>
  <c r="H28" i="2"/>
  <c r="H27" i="2" s="1"/>
  <c r="G28" i="2"/>
  <c r="G27" i="2" s="1"/>
  <c r="F28" i="2"/>
  <c r="F27" i="2" s="1"/>
  <c r="E28" i="2"/>
  <c r="E27" i="2" s="1"/>
  <c r="D28" i="2"/>
  <c r="D27" i="2" s="1"/>
  <c r="C28" i="2"/>
  <c r="C27" i="2" s="1"/>
  <c r="H26" i="2"/>
  <c r="G26" i="2"/>
  <c r="F26" i="2"/>
  <c r="E26" i="2"/>
  <c r="D26" i="2"/>
  <c r="C26" i="2"/>
  <c r="S25" i="2"/>
  <c r="R25" i="2"/>
  <c r="Q25" i="2"/>
  <c r="P25" i="2"/>
  <c r="O25" i="2"/>
  <c r="N25" i="2"/>
  <c r="M25" i="2"/>
  <c r="L25" i="2"/>
  <c r="K25" i="2"/>
  <c r="H25" i="2"/>
  <c r="G25" i="2"/>
  <c r="F25" i="2"/>
  <c r="E25" i="2"/>
  <c r="D25" i="2"/>
  <c r="C25" i="2"/>
  <c r="H23" i="2"/>
  <c r="H24" i="2" s="1"/>
  <c r="G23" i="2"/>
  <c r="G24" i="2" s="1"/>
  <c r="F23" i="2"/>
  <c r="F24" i="2" s="1"/>
  <c r="E23" i="2"/>
  <c r="E24" i="2" s="1"/>
  <c r="D23" i="2"/>
  <c r="D24" i="2" s="1"/>
  <c r="C23" i="2"/>
  <c r="C24" i="2" s="1"/>
  <c r="H22" i="2"/>
  <c r="G22" i="2"/>
  <c r="F22" i="2"/>
  <c r="E22" i="2"/>
  <c r="D22" i="2"/>
  <c r="C22" i="2"/>
  <c r="G7" i="2"/>
  <c r="F7" i="2"/>
  <c r="D7" i="2"/>
  <c r="C7" i="2"/>
  <c r="L43" i="2" l="1"/>
  <c r="K43" i="2"/>
  <c r="L47" i="2"/>
  <c r="K47" i="2"/>
  <c r="AE20" i="1"/>
  <c r="AX138" i="1" l="1"/>
  <c r="AW138" i="1" s="1"/>
  <c r="AX133" i="1"/>
  <c r="AW133" i="1" s="1"/>
  <c r="AX134" i="1"/>
  <c r="AW134" i="1" s="1"/>
  <c r="AX135" i="1"/>
  <c r="AW135" i="1" s="1"/>
  <c r="AX136" i="1"/>
  <c r="AW136" i="1" s="1"/>
  <c r="AX137" i="1"/>
  <c r="AW137" i="1" s="1"/>
  <c r="AX139" i="1"/>
  <c r="AW139" i="1" s="1"/>
  <c r="AX140" i="1"/>
  <c r="AW140" i="1" s="1"/>
  <c r="AX132" i="1"/>
  <c r="AW132" i="1" s="1"/>
  <c r="AX117" i="1"/>
  <c r="AX118" i="1"/>
  <c r="AW118" i="1" s="1"/>
  <c r="AX119" i="1"/>
  <c r="AW119" i="1" s="1"/>
  <c r="AX120" i="1"/>
  <c r="AW120" i="1" s="1"/>
  <c r="AX121" i="1"/>
  <c r="AW121" i="1" s="1"/>
  <c r="AX122" i="1"/>
  <c r="AW122" i="1" s="1"/>
  <c r="AX123" i="1"/>
  <c r="AW123" i="1" s="1"/>
  <c r="AX124" i="1"/>
  <c r="AW124" i="1" s="1"/>
  <c r="AX125" i="1"/>
  <c r="AW125" i="1" s="1"/>
  <c r="AX126" i="1"/>
  <c r="AW126" i="1" s="1"/>
  <c r="AX127" i="1"/>
  <c r="AW127" i="1" s="1"/>
  <c r="AX128" i="1"/>
  <c r="AW128" i="1" s="1"/>
  <c r="AX129" i="1"/>
  <c r="AW129" i="1" s="1"/>
  <c r="AX130" i="1"/>
  <c r="AW130" i="1" s="1"/>
  <c r="AX131" i="1"/>
  <c r="AW131" i="1" s="1"/>
  <c r="AX116" i="1"/>
  <c r="AW116" i="1" s="1"/>
  <c r="AX112" i="1"/>
  <c r="AW112" i="1" s="1"/>
  <c r="AX111" i="1"/>
  <c r="AW111" i="1" s="1"/>
  <c r="AX46" i="1"/>
  <c r="AW46" i="1" s="1"/>
  <c r="AX47" i="1"/>
  <c r="AW47" i="1" s="1"/>
  <c r="AX48" i="1"/>
  <c r="AW48" i="1" s="1"/>
  <c r="AX49" i="1"/>
  <c r="AW49" i="1" s="1"/>
  <c r="AX50" i="1"/>
  <c r="AW50" i="1" s="1"/>
  <c r="AX51" i="1"/>
  <c r="AW51" i="1" s="1"/>
  <c r="AX52" i="1"/>
  <c r="AW52" i="1" s="1"/>
  <c r="AX53" i="1"/>
  <c r="AW53" i="1" s="1"/>
  <c r="AX54" i="1"/>
  <c r="AW54" i="1" s="1"/>
  <c r="AX55" i="1"/>
  <c r="AW55" i="1" s="1"/>
  <c r="AX56" i="1"/>
  <c r="AW56" i="1" s="1"/>
  <c r="AX57" i="1"/>
  <c r="AW57" i="1" s="1"/>
  <c r="AX58" i="1"/>
  <c r="AW58" i="1" s="1"/>
  <c r="AX59" i="1"/>
  <c r="AW59" i="1" s="1"/>
  <c r="AX60" i="1"/>
  <c r="AW60" i="1" s="1"/>
  <c r="AX61" i="1"/>
  <c r="AW61" i="1" s="1"/>
  <c r="AX62" i="1"/>
  <c r="AW62" i="1" s="1"/>
  <c r="AX63" i="1"/>
  <c r="AW63" i="1" s="1"/>
  <c r="AX64" i="1"/>
  <c r="AW64" i="1" s="1"/>
  <c r="AX65" i="1"/>
  <c r="AW65" i="1" s="1"/>
  <c r="AX66" i="1"/>
  <c r="AW66" i="1" s="1"/>
  <c r="AX67" i="1"/>
  <c r="AW67" i="1" s="1"/>
  <c r="AX68" i="1"/>
  <c r="AW68" i="1" s="1"/>
  <c r="AX69" i="1"/>
  <c r="AW69" i="1" s="1"/>
  <c r="AX70" i="1"/>
  <c r="AW70" i="1" s="1"/>
  <c r="AX71" i="1"/>
  <c r="AW71" i="1" s="1"/>
  <c r="AX72" i="1"/>
  <c r="AW72" i="1" s="1"/>
  <c r="AX73" i="1"/>
  <c r="AW73" i="1" s="1"/>
  <c r="AX74" i="1"/>
  <c r="AW74" i="1" s="1"/>
  <c r="AX75" i="1"/>
  <c r="AW75" i="1" s="1"/>
  <c r="AX76" i="1"/>
  <c r="AW76" i="1" s="1"/>
  <c r="AX77" i="1"/>
  <c r="AW77" i="1" s="1"/>
  <c r="AX78" i="1"/>
  <c r="AW78" i="1" s="1"/>
  <c r="AX79" i="1"/>
  <c r="AW79" i="1" s="1"/>
  <c r="AX80" i="1"/>
  <c r="AW80" i="1" s="1"/>
  <c r="AX81" i="1"/>
  <c r="AW81" i="1" s="1"/>
  <c r="AX82" i="1"/>
  <c r="AW82" i="1" s="1"/>
  <c r="AX83" i="1"/>
  <c r="AW83" i="1" s="1"/>
  <c r="AX84" i="1"/>
  <c r="AW84" i="1" s="1"/>
  <c r="AX85" i="1"/>
  <c r="AW85" i="1" s="1"/>
  <c r="AX86" i="1"/>
  <c r="AW86" i="1" s="1"/>
  <c r="AX87" i="1"/>
  <c r="AW87" i="1" s="1"/>
  <c r="AX88" i="1"/>
  <c r="AW88" i="1" s="1"/>
  <c r="AX89" i="1"/>
  <c r="AW89" i="1" s="1"/>
  <c r="AX90" i="1"/>
  <c r="AW90" i="1" s="1"/>
  <c r="AX91" i="1"/>
  <c r="AW91" i="1" s="1"/>
  <c r="AX92" i="1"/>
  <c r="AW92" i="1" s="1"/>
  <c r="AX93" i="1"/>
  <c r="AW93" i="1" s="1"/>
  <c r="AX94" i="1"/>
  <c r="AW94" i="1" s="1"/>
  <c r="AX95" i="1"/>
  <c r="AW95" i="1" s="1"/>
  <c r="AX96" i="1"/>
  <c r="AW96" i="1" s="1"/>
  <c r="AX97" i="1"/>
  <c r="AW97" i="1" s="1"/>
  <c r="AX98" i="1"/>
  <c r="AW98" i="1" s="1"/>
  <c r="AX99" i="1"/>
  <c r="AW99" i="1" s="1"/>
  <c r="AX100" i="1"/>
  <c r="AW100" i="1" s="1"/>
  <c r="AX101" i="1"/>
  <c r="AW101" i="1" s="1"/>
  <c r="AX102" i="1"/>
  <c r="AW102" i="1" s="1"/>
  <c r="AX103" i="1"/>
  <c r="AW103" i="1" s="1"/>
  <c r="AX104" i="1"/>
  <c r="AW104" i="1" s="1"/>
  <c r="AX105" i="1"/>
  <c r="AW105" i="1" s="1"/>
  <c r="AX106" i="1"/>
  <c r="AW106" i="1" s="1"/>
  <c r="AX107" i="1"/>
  <c r="AW107" i="1" s="1"/>
  <c r="AX108" i="1"/>
  <c r="AW108" i="1" s="1"/>
  <c r="AX109" i="1"/>
  <c r="AW109" i="1" s="1"/>
  <c r="AX110" i="1"/>
  <c r="AW110" i="1" s="1"/>
  <c r="AX45" i="1"/>
  <c r="AW45" i="1" s="1"/>
  <c r="AW117" i="1"/>
  <c r="AW43" i="1"/>
  <c r="AW44" i="1"/>
  <c r="AW42" i="1"/>
  <c r="AX12" i="1" l="1"/>
  <c r="AX13" i="1"/>
  <c r="AX14" i="1"/>
  <c r="AX15" i="1"/>
  <c r="AX16" i="1"/>
  <c r="AX17" i="1"/>
  <c r="AX18" i="1"/>
  <c r="AX19" i="1"/>
  <c r="AX20" i="1"/>
  <c r="AX21" i="1"/>
  <c r="AX22" i="1"/>
  <c r="AX23" i="1"/>
  <c r="AX26" i="1"/>
  <c r="AX27" i="1"/>
  <c r="AX28" i="1"/>
  <c r="AX29" i="1"/>
  <c r="AX30" i="1"/>
  <c r="AX31" i="1"/>
  <c r="AX32" i="1"/>
  <c r="AX33" i="1"/>
  <c r="AX34" i="1"/>
  <c r="AX35" i="1"/>
  <c r="AX36" i="1"/>
  <c r="AX37" i="1"/>
  <c r="AX11" i="1"/>
  <c r="AO37" i="1" l="1"/>
  <c r="AO36" i="1"/>
  <c r="AO35" i="1"/>
  <c r="AO34" i="1"/>
  <c r="AO33" i="1"/>
  <c r="AO32" i="1"/>
  <c r="AO31" i="1"/>
  <c r="AO30" i="1"/>
  <c r="AO29" i="1"/>
  <c r="AO28" i="1"/>
  <c r="AO27" i="1"/>
  <c r="AO26" i="1"/>
  <c r="AO23" i="1"/>
  <c r="AO22" i="1"/>
  <c r="AO21" i="1"/>
  <c r="AO20" i="1"/>
  <c r="AO19" i="1"/>
  <c r="AO18" i="1"/>
  <c r="AO17" i="1"/>
  <c r="AO16" i="1"/>
  <c r="AO15" i="1"/>
  <c r="AO14" i="1"/>
  <c r="AO13" i="1"/>
  <c r="AO12" i="1"/>
  <c r="AO11" i="1"/>
  <c r="AP31" i="1" l="1"/>
  <c r="F12" i="1" l="1"/>
  <c r="F13" i="1"/>
  <c r="F14" i="1"/>
  <c r="F15" i="1"/>
  <c r="F16" i="1"/>
  <c r="F17" i="1"/>
  <c r="F18" i="1"/>
  <c r="F19" i="1"/>
  <c r="F20" i="1"/>
  <c r="F21" i="1"/>
  <c r="F22" i="1"/>
  <c r="F23" i="1"/>
  <c r="F24" i="1"/>
  <c r="F25" i="1"/>
  <c r="F26" i="1"/>
  <c r="F27" i="1"/>
  <c r="F28" i="1"/>
  <c r="F29" i="1"/>
  <c r="F30" i="1"/>
  <c r="F31" i="1"/>
  <c r="F32" i="1"/>
  <c r="F33" i="1"/>
  <c r="F34" i="1"/>
  <c r="F35" i="1"/>
  <c r="F36" i="1"/>
  <c r="F37" i="1"/>
  <c r="F11" i="1"/>
  <c r="G11" i="1" l="1"/>
  <c r="W20" i="1"/>
  <c r="AY20" i="1"/>
  <c r="U20" i="1"/>
  <c r="E20" i="1" l="1"/>
  <c r="D20" i="1" s="1"/>
  <c r="G20" i="1"/>
  <c r="I20" i="1"/>
  <c r="V20" i="1"/>
  <c r="X20" i="1"/>
  <c r="Y20" i="1" s="1"/>
  <c r="AF20" i="1"/>
  <c r="AG20" i="1"/>
  <c r="AH20" i="1"/>
  <c r="AI20" i="1"/>
  <c r="AK20" i="1"/>
  <c r="AM20" i="1"/>
  <c r="AP20" i="1"/>
  <c r="AV20" i="1"/>
  <c r="AZ20" i="1"/>
  <c r="BB20" i="1"/>
  <c r="BA20" i="1" s="1"/>
  <c r="AB20" i="1" l="1"/>
  <c r="AA20" i="1"/>
  <c r="AD20" i="1"/>
  <c r="Z20" i="1"/>
  <c r="AC20" i="1"/>
  <c r="M20" i="1"/>
  <c r="P20" i="1"/>
  <c r="J20" i="1"/>
  <c r="N20" i="1"/>
  <c r="L20" i="1"/>
  <c r="K20" i="1"/>
  <c r="O20" i="1"/>
  <c r="E19" i="1" l="1"/>
  <c r="D19" i="1" s="1"/>
  <c r="G19" i="1"/>
  <c r="I19" i="1"/>
  <c r="R19" i="1"/>
  <c r="S19" i="1"/>
  <c r="T19" i="1"/>
  <c r="V19" i="1"/>
  <c r="X19" i="1"/>
  <c r="Y19" i="1" s="1"/>
  <c r="AF19" i="1"/>
  <c r="AG19" i="1"/>
  <c r="AH19" i="1"/>
  <c r="AI19" i="1"/>
  <c r="AK19" i="1"/>
  <c r="AM19" i="1"/>
  <c r="AP19" i="1"/>
  <c r="AR19" i="1"/>
  <c r="AS19" i="1"/>
  <c r="AT19" i="1"/>
  <c r="AV19" i="1"/>
  <c r="AZ19" i="1"/>
  <c r="BB19" i="1"/>
  <c r="BA19" i="1" s="1"/>
  <c r="E17" i="1"/>
  <c r="D17" i="1" s="1"/>
  <c r="G17" i="1"/>
  <c r="I17" i="1"/>
  <c r="R17" i="1"/>
  <c r="S17" i="1"/>
  <c r="T17" i="1"/>
  <c r="V17" i="1"/>
  <c r="X17" i="1"/>
  <c r="Y17" i="1" s="1"/>
  <c r="AF17" i="1"/>
  <c r="AG17" i="1"/>
  <c r="AH17" i="1"/>
  <c r="AI17" i="1"/>
  <c r="AK17" i="1"/>
  <c r="AM17" i="1"/>
  <c r="AP17" i="1"/>
  <c r="AR17" i="1"/>
  <c r="AS17" i="1"/>
  <c r="AT17" i="1"/>
  <c r="AV17" i="1"/>
  <c r="AZ17" i="1"/>
  <c r="BB17" i="1"/>
  <c r="BA17" i="1" s="1"/>
  <c r="AB19" i="1" l="1"/>
  <c r="AA19" i="1"/>
  <c r="AD19" i="1"/>
  <c r="Z19" i="1"/>
  <c r="AC19" i="1"/>
  <c r="M19" i="1"/>
  <c r="L19" i="1"/>
  <c r="J19" i="1"/>
  <c r="N19" i="1"/>
  <c r="P19" i="1"/>
  <c r="K19" i="1"/>
  <c r="O19" i="1"/>
  <c r="AB17" i="1"/>
  <c r="AA17" i="1"/>
  <c r="AD17" i="1"/>
  <c r="Z17" i="1"/>
  <c r="AC17" i="1"/>
  <c r="M17" i="1"/>
  <c r="L17" i="1"/>
  <c r="J17" i="1"/>
  <c r="N17" i="1"/>
  <c r="K17" i="1"/>
  <c r="O17" i="1"/>
  <c r="P17" i="1"/>
  <c r="BB138" i="1" l="1"/>
  <c r="BA138" i="1" s="1"/>
  <c r="AV138" i="1"/>
  <c r="AU138" i="1" s="1"/>
  <c r="AR138" i="1"/>
  <c r="AQ138" i="1" s="1"/>
  <c r="AO138" i="1"/>
  <c r="AN138" i="1" s="1"/>
  <c r="AP138" i="1" s="1"/>
  <c r="AF138" i="1"/>
  <c r="AE138" i="1" s="1"/>
  <c r="AI138" i="1" s="1"/>
  <c r="V138" i="1"/>
  <c r="X138" i="1" s="1"/>
  <c r="R138" i="1"/>
  <c r="Q138" i="1" s="1"/>
  <c r="T138" i="1" s="1"/>
  <c r="I138" i="1"/>
  <c r="P138" i="1" s="1"/>
  <c r="G138" i="1"/>
  <c r="F138" i="1" s="1"/>
  <c r="BB128" i="1"/>
  <c r="BA128" i="1" s="1"/>
  <c r="AV128" i="1"/>
  <c r="AU128" i="1" s="1"/>
  <c r="AR128" i="1"/>
  <c r="AQ128" i="1" s="1"/>
  <c r="AO128" i="1"/>
  <c r="AN128" i="1" s="1"/>
  <c r="AP128" i="1" s="1"/>
  <c r="AF128" i="1"/>
  <c r="AE128" i="1" s="1"/>
  <c r="V128" i="1"/>
  <c r="X128" i="1" s="1"/>
  <c r="R128" i="1"/>
  <c r="Q128" i="1" s="1"/>
  <c r="T128" i="1" s="1"/>
  <c r="I128" i="1"/>
  <c r="P128" i="1" s="1"/>
  <c r="G128" i="1"/>
  <c r="F128" i="1" s="1"/>
  <c r="E128" i="1"/>
  <c r="D128" i="1" s="1"/>
  <c r="E129" i="1"/>
  <c r="D129" i="1" s="1"/>
  <c r="G129" i="1"/>
  <c r="F129" i="1" s="1"/>
  <c r="I129" i="1"/>
  <c r="H129" i="1" s="1"/>
  <c r="R129" i="1"/>
  <c r="Q129" i="1" s="1"/>
  <c r="T129" i="1" s="1"/>
  <c r="V129" i="1"/>
  <c r="X129" i="1" s="1"/>
  <c r="AF129" i="1"/>
  <c r="AE129" i="1" s="1"/>
  <c r="AG129" i="1" s="1"/>
  <c r="AO129" i="1"/>
  <c r="AN129" i="1" s="1"/>
  <c r="AP129" i="1" s="1"/>
  <c r="AR129" i="1"/>
  <c r="AQ129" i="1" s="1"/>
  <c r="AS129" i="1" s="1"/>
  <c r="AV129" i="1"/>
  <c r="AU129" i="1" s="1"/>
  <c r="BB129" i="1"/>
  <c r="BA129" i="1" s="1"/>
  <c r="U128" i="1" l="1"/>
  <c r="E138" i="1"/>
  <c r="D138" i="1" s="1"/>
  <c r="U138" i="1"/>
  <c r="AG138" i="1"/>
  <c r="AB138" i="1"/>
  <c r="AC138" i="1"/>
  <c r="Y138" i="1"/>
  <c r="AA138" i="1"/>
  <c r="W138" i="1"/>
  <c r="AD138" i="1"/>
  <c r="Z138" i="1"/>
  <c r="AS138" i="1"/>
  <c r="AT138" i="1"/>
  <c r="M138" i="1"/>
  <c r="J138" i="1"/>
  <c r="N138" i="1"/>
  <c r="AH138" i="1"/>
  <c r="K138" i="1"/>
  <c r="O138" i="1"/>
  <c r="S138" i="1"/>
  <c r="H138" i="1"/>
  <c r="L138" i="1"/>
  <c r="AB128" i="1"/>
  <c r="AA128" i="1"/>
  <c r="W128" i="1"/>
  <c r="AC128" i="1"/>
  <c r="Y128" i="1"/>
  <c r="AD128" i="1"/>
  <c r="Z128" i="1"/>
  <c r="AI128" i="1"/>
  <c r="AG128" i="1"/>
  <c r="AH128" i="1"/>
  <c r="AS128" i="1"/>
  <c r="AT128" i="1"/>
  <c r="O129" i="1"/>
  <c r="J128" i="1"/>
  <c r="N128" i="1"/>
  <c r="M128" i="1"/>
  <c r="U129" i="1"/>
  <c r="M129" i="1"/>
  <c r="K128" i="1"/>
  <c r="O128" i="1"/>
  <c r="S128" i="1"/>
  <c r="K129" i="1"/>
  <c r="H128" i="1"/>
  <c r="L128" i="1"/>
  <c r="AI129" i="1"/>
  <c r="S129" i="1"/>
  <c r="AB129" i="1"/>
  <c r="Y129" i="1"/>
  <c r="AC129" i="1"/>
  <c r="Z129" i="1"/>
  <c r="AD129" i="1"/>
  <c r="W129" i="1"/>
  <c r="AA129" i="1"/>
  <c r="AT129" i="1"/>
  <c r="AH129" i="1"/>
  <c r="N129" i="1"/>
  <c r="J129" i="1"/>
  <c r="P129" i="1"/>
  <c r="L129" i="1"/>
  <c r="BB37" i="1" l="1"/>
  <c r="BB23" i="1"/>
  <c r="BB22" i="1"/>
  <c r="BB21" i="1"/>
  <c r="BB18" i="1"/>
  <c r="BB16" i="1"/>
  <c r="BB15" i="1"/>
  <c r="BB13" i="1"/>
  <c r="BB12" i="1"/>
  <c r="BB11" i="1"/>
  <c r="H38" i="1" l="1"/>
  <c r="AZ138" i="1" l="1"/>
  <c r="AY138" i="1" s="1"/>
  <c r="AZ128" i="1"/>
  <c r="AY128" i="1" s="1"/>
  <c r="AZ129" i="1"/>
  <c r="AY129" i="1" s="1"/>
  <c r="AM138" i="1"/>
  <c r="AL138" i="1" s="1"/>
  <c r="AM128" i="1"/>
  <c r="AL128" i="1" s="1"/>
  <c r="AM129" i="1"/>
  <c r="AL129" i="1" s="1"/>
  <c r="AK129" i="1"/>
  <c r="AJ129" i="1" s="1"/>
  <c r="AK138" i="1"/>
  <c r="AJ138" i="1" s="1"/>
  <c r="AK128" i="1"/>
  <c r="AJ128" i="1" s="1"/>
  <c r="V140" i="1" l="1"/>
  <c r="V139" i="1"/>
  <c r="V137" i="1"/>
  <c r="V136" i="1"/>
  <c r="V135" i="1"/>
  <c r="V134" i="1"/>
  <c r="V133" i="1"/>
  <c r="V132" i="1"/>
  <c r="V117" i="1"/>
  <c r="V118" i="1"/>
  <c r="V119" i="1"/>
  <c r="V120" i="1"/>
  <c r="V121" i="1"/>
  <c r="V122" i="1"/>
  <c r="V123" i="1"/>
  <c r="V124" i="1"/>
  <c r="V125" i="1"/>
  <c r="V126" i="1"/>
  <c r="V127" i="1"/>
  <c r="V130" i="1"/>
  <c r="V131" i="1"/>
  <c r="V116" i="1"/>
  <c r="V112" i="1"/>
  <c r="V111" i="1"/>
  <c r="V110" i="1"/>
  <c r="V10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79" i="1"/>
  <c r="AT38" i="1" l="1"/>
  <c r="K42" i="1" l="1"/>
  <c r="L42" i="1"/>
  <c r="K43" i="1"/>
  <c r="L43" i="1"/>
  <c r="K44" i="1"/>
  <c r="L44" i="1"/>
  <c r="J43" i="1"/>
  <c r="J44" i="1"/>
  <c r="K14" i="1"/>
  <c r="L14" i="1"/>
  <c r="K24" i="1"/>
  <c r="L24" i="1"/>
  <c r="K25" i="1"/>
  <c r="L25" i="1"/>
  <c r="K26" i="1"/>
  <c r="L26" i="1"/>
  <c r="K32" i="1"/>
  <c r="L32" i="1"/>
  <c r="K38" i="1"/>
  <c r="L38" i="1"/>
  <c r="X74" i="1" l="1"/>
  <c r="X75" i="1"/>
  <c r="X76" i="1"/>
  <c r="X77" i="1"/>
  <c r="X78" i="1"/>
  <c r="X73" i="1"/>
  <c r="X72" i="1"/>
  <c r="V75" i="1"/>
  <c r="U75" i="1" s="1"/>
  <c r="V76" i="1"/>
  <c r="U76" i="1" s="1"/>
  <c r="V77" i="1"/>
  <c r="U77" i="1" s="1"/>
  <c r="V78" i="1"/>
  <c r="U78" i="1" s="1"/>
  <c r="V74" i="1"/>
  <c r="U74" i="1" s="1"/>
  <c r="V73" i="1"/>
  <c r="U73" i="1" s="1"/>
  <c r="V72" i="1"/>
  <c r="U72" i="1" s="1"/>
  <c r="BA39" i="1"/>
  <c r="BA38" i="1"/>
  <c r="BA14" i="1"/>
  <c r="X31" i="1" l="1"/>
  <c r="AB31" i="1" s="1"/>
  <c r="V31" i="1"/>
  <c r="AD31" i="1" l="1"/>
  <c r="AC31" i="1"/>
  <c r="F43" i="1" l="1"/>
  <c r="F44" i="1"/>
  <c r="F42" i="1"/>
  <c r="G37" i="1"/>
  <c r="G36" i="1"/>
  <c r="G35" i="1"/>
  <c r="G34" i="1"/>
  <c r="G33" i="1"/>
  <c r="G29" i="1"/>
  <c r="G28" i="1"/>
  <c r="G27" i="1"/>
  <c r="G12" i="1"/>
  <c r="G13" i="1"/>
  <c r="G14" i="1"/>
  <c r="G15" i="1"/>
  <c r="G16" i="1"/>
  <c r="G18" i="1"/>
  <c r="G21" i="1"/>
  <c r="G22" i="1"/>
  <c r="G23" i="1"/>
  <c r="G140" i="1"/>
  <c r="F140" i="1" s="1"/>
  <c r="G139" i="1"/>
  <c r="F139" i="1" s="1"/>
  <c r="G137" i="1"/>
  <c r="F137" i="1" s="1"/>
  <c r="G136" i="1"/>
  <c r="F136" i="1" s="1"/>
  <c r="G135" i="1"/>
  <c r="F135" i="1" s="1"/>
  <c r="G134" i="1"/>
  <c r="F134" i="1" s="1"/>
  <c r="G133" i="1"/>
  <c r="F133" i="1" s="1"/>
  <c r="G132" i="1"/>
  <c r="F132" i="1" s="1"/>
  <c r="G131" i="1"/>
  <c r="F131" i="1" s="1"/>
  <c r="G130" i="1"/>
  <c r="F130" i="1" s="1"/>
  <c r="G127" i="1"/>
  <c r="F127" i="1" s="1"/>
  <c r="G126" i="1"/>
  <c r="F126" i="1" s="1"/>
  <c r="G125" i="1"/>
  <c r="F125" i="1" s="1"/>
  <c r="G124" i="1"/>
  <c r="F124" i="1" s="1"/>
  <c r="G123" i="1"/>
  <c r="F123" i="1" s="1"/>
  <c r="G122" i="1"/>
  <c r="F122" i="1" s="1"/>
  <c r="G121" i="1"/>
  <c r="F121" i="1" s="1"/>
  <c r="G120" i="1"/>
  <c r="F120" i="1" s="1"/>
  <c r="G119" i="1"/>
  <c r="F119" i="1" s="1"/>
  <c r="G118" i="1"/>
  <c r="F118" i="1" s="1"/>
  <c r="G117" i="1"/>
  <c r="F117" i="1" s="1"/>
  <c r="G116" i="1"/>
  <c r="F116" i="1" s="1"/>
  <c r="G112" i="1"/>
  <c r="F112" i="1" s="1"/>
  <c r="G111" i="1"/>
  <c r="F111" i="1" s="1"/>
  <c r="G110" i="1"/>
  <c r="F110" i="1" s="1"/>
  <c r="G109" i="1"/>
  <c r="F109" i="1" s="1"/>
  <c r="G108" i="1"/>
  <c r="F108" i="1" s="1"/>
  <c r="G107" i="1"/>
  <c r="F107" i="1" s="1"/>
  <c r="G106" i="1"/>
  <c r="F106" i="1" s="1"/>
  <c r="G105" i="1"/>
  <c r="F105" i="1" s="1"/>
  <c r="G104" i="1"/>
  <c r="F104" i="1" s="1"/>
  <c r="G103" i="1"/>
  <c r="F103" i="1" s="1"/>
  <c r="G102" i="1"/>
  <c r="F102" i="1" s="1"/>
  <c r="G101" i="1"/>
  <c r="F101" i="1" s="1"/>
  <c r="G100" i="1"/>
  <c r="F100" i="1" s="1"/>
  <c r="G99" i="1"/>
  <c r="F99" i="1" s="1"/>
  <c r="G98" i="1"/>
  <c r="F98" i="1" s="1"/>
  <c r="G97" i="1"/>
  <c r="F97" i="1" s="1"/>
  <c r="G96" i="1"/>
  <c r="F96" i="1" s="1"/>
  <c r="G95" i="1"/>
  <c r="F95" i="1" s="1"/>
  <c r="G94" i="1"/>
  <c r="F94" i="1" s="1"/>
  <c r="G93" i="1"/>
  <c r="F93" i="1" s="1"/>
  <c r="G92" i="1"/>
  <c r="F92" i="1" s="1"/>
  <c r="G91" i="1"/>
  <c r="F91" i="1" s="1"/>
  <c r="G90" i="1"/>
  <c r="F90" i="1" s="1"/>
  <c r="G89" i="1"/>
  <c r="F89" i="1" s="1"/>
  <c r="G88" i="1"/>
  <c r="F88" i="1" s="1"/>
  <c r="G87" i="1"/>
  <c r="F87" i="1" s="1"/>
  <c r="G86" i="1"/>
  <c r="F86" i="1" s="1"/>
  <c r="G85" i="1"/>
  <c r="F85" i="1" s="1"/>
  <c r="G84" i="1"/>
  <c r="F84" i="1" s="1"/>
  <c r="G83" i="1"/>
  <c r="F83" i="1" s="1"/>
  <c r="G82" i="1"/>
  <c r="F82" i="1" s="1"/>
  <c r="G81" i="1"/>
  <c r="F81" i="1" s="1"/>
  <c r="G80" i="1"/>
  <c r="F80" i="1" s="1"/>
  <c r="G79" i="1"/>
  <c r="F79" i="1" s="1"/>
  <c r="G78" i="1"/>
  <c r="F78" i="1" s="1"/>
  <c r="G77" i="1"/>
  <c r="F77" i="1" s="1"/>
  <c r="G76" i="1"/>
  <c r="F76" i="1" s="1"/>
  <c r="G75" i="1"/>
  <c r="F75" i="1" s="1"/>
  <c r="G74" i="1"/>
  <c r="F74" i="1" s="1"/>
  <c r="G73" i="1"/>
  <c r="F73" i="1" s="1"/>
  <c r="G72" i="1"/>
  <c r="F72" i="1" s="1"/>
  <c r="G71" i="1"/>
  <c r="F71" i="1" s="1"/>
  <c r="G70" i="1"/>
  <c r="F70" i="1" s="1"/>
  <c r="G69" i="1"/>
  <c r="F69" i="1" s="1"/>
  <c r="G68" i="1"/>
  <c r="F68" i="1" s="1"/>
  <c r="G67" i="1"/>
  <c r="F67" i="1" s="1"/>
  <c r="G66" i="1"/>
  <c r="F66" i="1" s="1"/>
  <c r="G65" i="1"/>
  <c r="F65" i="1" s="1"/>
  <c r="G64" i="1"/>
  <c r="F64" i="1" s="1"/>
  <c r="G63" i="1"/>
  <c r="F63" i="1" s="1"/>
  <c r="G62" i="1"/>
  <c r="F62" i="1" s="1"/>
  <c r="G61" i="1"/>
  <c r="F61" i="1" s="1"/>
  <c r="G60" i="1"/>
  <c r="F60" i="1" s="1"/>
  <c r="G59" i="1"/>
  <c r="F59" i="1" s="1"/>
  <c r="G58" i="1"/>
  <c r="F58" i="1" s="1"/>
  <c r="G57" i="1"/>
  <c r="F57" i="1" s="1"/>
  <c r="G56" i="1"/>
  <c r="F56" i="1" s="1"/>
  <c r="G55" i="1"/>
  <c r="F55" i="1" s="1"/>
  <c r="G54" i="1"/>
  <c r="F54" i="1" s="1"/>
  <c r="G53" i="1"/>
  <c r="F53" i="1" s="1"/>
  <c r="G52" i="1"/>
  <c r="F52" i="1" s="1"/>
  <c r="G51" i="1"/>
  <c r="F51" i="1" s="1"/>
  <c r="G50" i="1"/>
  <c r="F50" i="1" s="1"/>
  <c r="G49" i="1"/>
  <c r="F49" i="1" s="1"/>
  <c r="G48" i="1"/>
  <c r="F48" i="1" s="1"/>
  <c r="G47" i="1"/>
  <c r="F47" i="1" s="1"/>
  <c r="G46" i="1"/>
  <c r="F46" i="1" s="1"/>
  <c r="G45" i="1"/>
  <c r="F45" i="1" s="1"/>
  <c r="G31" i="1"/>
  <c r="G30" i="1"/>
  <c r="Y38" i="1" l="1"/>
  <c r="Y32" i="1"/>
  <c r="Y31" i="1"/>
  <c r="Z31" i="1"/>
  <c r="Z32" i="1"/>
  <c r="AA32" i="1" s="1"/>
  <c r="AB32" i="1" s="1"/>
  <c r="AC32" i="1" s="1"/>
  <c r="AD32" i="1" s="1"/>
  <c r="Z38" i="1"/>
  <c r="AA38" i="1" s="1"/>
  <c r="AB38" i="1" s="1"/>
  <c r="AC38" i="1" s="1"/>
  <c r="AD38" i="1" s="1"/>
  <c r="BA26" i="1"/>
  <c r="BA25" i="1"/>
  <c r="BA24" i="1"/>
  <c r="BA37" i="1"/>
  <c r="BA23" i="1"/>
  <c r="BA21" i="1"/>
  <c r="BA18" i="1"/>
  <c r="BA16" i="1"/>
  <c r="BA15" i="1"/>
  <c r="BA12" i="1"/>
  <c r="BA13" i="1"/>
  <c r="BA11" i="1"/>
  <c r="AS32" i="1"/>
  <c r="AT32" i="1"/>
  <c r="AS31" i="1"/>
  <c r="AT31" i="1"/>
  <c r="AG38" i="1"/>
  <c r="AH38" i="1"/>
  <c r="AI38" i="1"/>
  <c r="AG32" i="1"/>
  <c r="AH32" i="1"/>
  <c r="AI32" i="1"/>
  <c r="AG31" i="1"/>
  <c r="AH31" i="1"/>
  <c r="AI31" i="1"/>
  <c r="S38" i="1"/>
  <c r="T38" i="1"/>
  <c r="S32" i="1"/>
  <c r="T32" i="1"/>
  <c r="S31" i="1"/>
  <c r="T31" i="1"/>
  <c r="P38" i="1"/>
  <c r="O38" i="1"/>
  <c r="N38" i="1"/>
  <c r="M38" i="1"/>
  <c r="J38" i="1"/>
  <c r="D43" i="1"/>
  <c r="H43" i="1"/>
  <c r="M43" i="1"/>
  <c r="N43" i="1"/>
  <c r="O43" i="1"/>
  <c r="P43" i="1"/>
  <c r="Q43" i="1"/>
  <c r="S43" i="1" s="1"/>
  <c r="U43" i="1"/>
  <c r="X43" i="1"/>
  <c r="AA43" i="1" s="1"/>
  <c r="AG43" i="1"/>
  <c r="AH43" i="1"/>
  <c r="AI43" i="1"/>
  <c r="AJ43" i="1"/>
  <c r="AL43" i="1"/>
  <c r="AN43" i="1"/>
  <c r="AP43" i="1" s="1"/>
  <c r="AQ43" i="1"/>
  <c r="AT43" i="1" s="1"/>
  <c r="AU43" i="1"/>
  <c r="AY43" i="1"/>
  <c r="BA43" i="1"/>
  <c r="AB26" i="1"/>
  <c r="X32" i="1"/>
  <c r="J32" i="1"/>
  <c r="AF32" i="1"/>
  <c r="AK32" i="1"/>
  <c r="AM32" i="1"/>
  <c r="AR32" i="1"/>
  <c r="AV32" i="1"/>
  <c r="AZ32" i="1"/>
  <c r="BB32" i="1"/>
  <c r="E31" i="1"/>
  <c r="D31" i="1" s="1"/>
  <c r="I31" i="1"/>
  <c r="R31" i="1"/>
  <c r="AF31" i="1"/>
  <c r="AK31" i="1"/>
  <c r="AM31" i="1"/>
  <c r="AR31" i="1"/>
  <c r="AV31" i="1"/>
  <c r="AZ31" i="1"/>
  <c r="BB31" i="1"/>
  <c r="N31" i="1" l="1"/>
  <c r="L31" i="1"/>
  <c r="K31" i="1"/>
  <c r="Y26" i="1"/>
  <c r="Y43" i="1"/>
  <c r="AS43" i="1"/>
  <c r="Z43" i="1"/>
  <c r="Z26" i="1"/>
  <c r="AD43" i="1"/>
  <c r="AC43" i="1"/>
  <c r="AB43" i="1"/>
  <c r="W43" i="1"/>
  <c r="T43" i="1"/>
  <c r="J31" i="1"/>
  <c r="P31" i="1"/>
  <c r="AA26" i="1"/>
  <c r="O31" i="1"/>
  <c r="M31" i="1"/>
  <c r="AC26" i="1"/>
  <c r="AD26" i="1"/>
  <c r="O32" i="1"/>
  <c r="N32" i="1"/>
  <c r="M32" i="1"/>
  <c r="P32" i="1"/>
  <c r="BA44" i="1" l="1"/>
  <c r="BA42" i="1"/>
  <c r="AY44" i="1"/>
  <c r="AY42" i="1"/>
  <c r="AU44" i="1"/>
  <c r="AU42" i="1"/>
  <c r="AV133" i="1"/>
  <c r="AU133" i="1" s="1"/>
  <c r="AZ133" i="1"/>
  <c r="AY133" i="1" s="1"/>
  <c r="BB133" i="1"/>
  <c r="BA133" i="1" s="1"/>
  <c r="AV134" i="1"/>
  <c r="AU134" i="1" s="1"/>
  <c r="AZ134" i="1"/>
  <c r="AY134" i="1" s="1"/>
  <c r="BB134" i="1"/>
  <c r="E134" i="1" s="1"/>
  <c r="AV135" i="1"/>
  <c r="AU135" i="1" s="1"/>
  <c r="AZ135" i="1"/>
  <c r="AY135" i="1" s="1"/>
  <c r="BB135" i="1"/>
  <c r="BA135" i="1" s="1"/>
  <c r="AV136" i="1"/>
  <c r="AU136" i="1" s="1"/>
  <c r="AZ136" i="1"/>
  <c r="AY136" i="1" s="1"/>
  <c r="BB136" i="1"/>
  <c r="BA136" i="1" s="1"/>
  <c r="AV137" i="1"/>
  <c r="AU137" i="1" s="1"/>
  <c r="AZ137" i="1"/>
  <c r="AY137" i="1" s="1"/>
  <c r="BB137" i="1"/>
  <c r="BA137" i="1" s="1"/>
  <c r="AV139" i="1"/>
  <c r="AU139" i="1" s="1"/>
  <c r="AZ139" i="1"/>
  <c r="AY139" i="1" s="1"/>
  <c r="BB139" i="1"/>
  <c r="E139" i="1" s="1"/>
  <c r="AV140" i="1"/>
  <c r="AU140" i="1" s="1"/>
  <c r="AZ140" i="1"/>
  <c r="AY140" i="1" s="1"/>
  <c r="BB140" i="1"/>
  <c r="BA140" i="1" s="1"/>
  <c r="BB132" i="1"/>
  <c r="BA132" i="1" s="1"/>
  <c r="AZ132" i="1"/>
  <c r="AY132" i="1" s="1"/>
  <c r="AV132" i="1"/>
  <c r="AU132" i="1" s="1"/>
  <c r="AV112" i="1"/>
  <c r="AU112" i="1" s="1"/>
  <c r="AZ112" i="1"/>
  <c r="AY112" i="1" s="1"/>
  <c r="BB112" i="1"/>
  <c r="BA112" i="1" s="1"/>
  <c r="BB111" i="1"/>
  <c r="BA111" i="1" s="1"/>
  <c r="AZ111" i="1"/>
  <c r="AY111" i="1" s="1"/>
  <c r="AV111" i="1"/>
  <c r="AU111" i="1" s="1"/>
  <c r="AV117" i="1"/>
  <c r="AU117" i="1" s="1"/>
  <c r="AZ117" i="1"/>
  <c r="AY117" i="1" s="1"/>
  <c r="BB117" i="1"/>
  <c r="BA117" i="1" s="1"/>
  <c r="AV118" i="1"/>
  <c r="AU118" i="1" s="1"/>
  <c r="AZ118" i="1"/>
  <c r="AY118" i="1" s="1"/>
  <c r="BB118" i="1"/>
  <c r="BA118" i="1" s="1"/>
  <c r="AV119" i="1"/>
  <c r="AU119" i="1" s="1"/>
  <c r="AZ119" i="1"/>
  <c r="AY119" i="1" s="1"/>
  <c r="BB119" i="1"/>
  <c r="BA119" i="1" s="1"/>
  <c r="AV120" i="1"/>
  <c r="AU120" i="1" s="1"/>
  <c r="AZ120" i="1"/>
  <c r="AY120" i="1" s="1"/>
  <c r="BB120" i="1"/>
  <c r="BA120" i="1" s="1"/>
  <c r="AV121" i="1"/>
  <c r="AU121" i="1" s="1"/>
  <c r="AZ121" i="1"/>
  <c r="AY121" i="1" s="1"/>
  <c r="BB121" i="1"/>
  <c r="BA121" i="1" s="1"/>
  <c r="AV122" i="1"/>
  <c r="AU122" i="1" s="1"/>
  <c r="AZ122" i="1"/>
  <c r="AY122" i="1" s="1"/>
  <c r="BB122" i="1"/>
  <c r="BA122" i="1" s="1"/>
  <c r="AV123" i="1"/>
  <c r="AU123" i="1" s="1"/>
  <c r="AZ123" i="1"/>
  <c r="AY123" i="1" s="1"/>
  <c r="BB123" i="1"/>
  <c r="BA123" i="1" s="1"/>
  <c r="AV124" i="1"/>
  <c r="AU124" i="1" s="1"/>
  <c r="AZ124" i="1"/>
  <c r="AY124" i="1" s="1"/>
  <c r="BB124" i="1"/>
  <c r="BA124" i="1" s="1"/>
  <c r="AV125" i="1"/>
  <c r="AU125" i="1" s="1"/>
  <c r="AZ125" i="1"/>
  <c r="AY125" i="1" s="1"/>
  <c r="BB125" i="1"/>
  <c r="BA125" i="1" s="1"/>
  <c r="AV126" i="1"/>
  <c r="AU126" i="1" s="1"/>
  <c r="AZ126" i="1"/>
  <c r="AY126" i="1" s="1"/>
  <c r="BB126" i="1"/>
  <c r="BA126" i="1" s="1"/>
  <c r="AV127" i="1"/>
  <c r="AU127" i="1" s="1"/>
  <c r="AZ127" i="1"/>
  <c r="AY127" i="1" s="1"/>
  <c r="BB127" i="1"/>
  <c r="BA127" i="1" s="1"/>
  <c r="AV130" i="1"/>
  <c r="AU130" i="1" s="1"/>
  <c r="AZ130" i="1"/>
  <c r="AY130" i="1" s="1"/>
  <c r="BB130" i="1"/>
  <c r="BA130" i="1" s="1"/>
  <c r="AV131" i="1"/>
  <c r="AU131" i="1" s="1"/>
  <c r="AZ131" i="1"/>
  <c r="AY131" i="1" s="1"/>
  <c r="BB131" i="1"/>
  <c r="BA131" i="1" s="1"/>
  <c r="BB116" i="1"/>
  <c r="BA116" i="1" s="1"/>
  <c r="AZ116" i="1"/>
  <c r="AY116" i="1" s="1"/>
  <c r="AV116" i="1"/>
  <c r="AU116" i="1" s="1"/>
  <c r="AV46" i="1"/>
  <c r="AU46" i="1" s="1"/>
  <c r="AZ46" i="1"/>
  <c r="AY46" i="1" s="1"/>
  <c r="BB46" i="1"/>
  <c r="BA46" i="1" s="1"/>
  <c r="AV47" i="1"/>
  <c r="AU47" i="1" s="1"/>
  <c r="AZ47" i="1"/>
  <c r="AY47" i="1" s="1"/>
  <c r="BB47" i="1"/>
  <c r="BA47" i="1" s="1"/>
  <c r="AV48" i="1"/>
  <c r="AU48" i="1" s="1"/>
  <c r="AZ48" i="1"/>
  <c r="AY48" i="1" s="1"/>
  <c r="BB48" i="1"/>
  <c r="BA48" i="1" s="1"/>
  <c r="AV49" i="1"/>
  <c r="AU49" i="1" s="1"/>
  <c r="AZ49" i="1"/>
  <c r="AY49" i="1" s="1"/>
  <c r="BB49" i="1"/>
  <c r="BA49" i="1" s="1"/>
  <c r="AV50" i="1"/>
  <c r="AU50" i="1" s="1"/>
  <c r="AZ50" i="1"/>
  <c r="AY50" i="1" s="1"/>
  <c r="BB50" i="1"/>
  <c r="BA50" i="1" s="1"/>
  <c r="AV51" i="1"/>
  <c r="AU51" i="1" s="1"/>
  <c r="AZ51" i="1"/>
  <c r="AY51" i="1" s="1"/>
  <c r="BB51" i="1"/>
  <c r="BA51" i="1" s="1"/>
  <c r="AV52" i="1"/>
  <c r="AU52" i="1" s="1"/>
  <c r="AZ52" i="1"/>
  <c r="AY52" i="1" s="1"/>
  <c r="BB52" i="1"/>
  <c r="BA52" i="1" s="1"/>
  <c r="AV53" i="1"/>
  <c r="AU53" i="1" s="1"/>
  <c r="AZ53" i="1"/>
  <c r="AY53" i="1" s="1"/>
  <c r="BB53" i="1"/>
  <c r="BA53" i="1" s="1"/>
  <c r="AV54" i="1"/>
  <c r="AU54" i="1" s="1"/>
  <c r="AZ54" i="1"/>
  <c r="AY54" i="1" s="1"/>
  <c r="BB54" i="1"/>
  <c r="BA54" i="1" s="1"/>
  <c r="AV55" i="1"/>
  <c r="AU55" i="1" s="1"/>
  <c r="AZ55" i="1"/>
  <c r="AY55" i="1" s="1"/>
  <c r="BB55" i="1"/>
  <c r="BA55" i="1" s="1"/>
  <c r="AV56" i="1"/>
  <c r="AU56" i="1" s="1"/>
  <c r="AZ56" i="1"/>
  <c r="AY56" i="1" s="1"/>
  <c r="BB56" i="1"/>
  <c r="BA56" i="1" s="1"/>
  <c r="AV57" i="1"/>
  <c r="AU57" i="1" s="1"/>
  <c r="AZ57" i="1"/>
  <c r="AY57" i="1" s="1"/>
  <c r="BB57" i="1"/>
  <c r="BA57" i="1" s="1"/>
  <c r="AV58" i="1"/>
  <c r="AU58" i="1" s="1"/>
  <c r="AZ58" i="1"/>
  <c r="AY58" i="1" s="1"/>
  <c r="BB58" i="1"/>
  <c r="BA58" i="1" s="1"/>
  <c r="AV59" i="1"/>
  <c r="AU59" i="1" s="1"/>
  <c r="AZ59" i="1"/>
  <c r="AY59" i="1" s="1"/>
  <c r="BB59" i="1"/>
  <c r="BA59" i="1" s="1"/>
  <c r="AV60" i="1"/>
  <c r="AU60" i="1" s="1"/>
  <c r="AZ60" i="1"/>
  <c r="AY60" i="1" s="1"/>
  <c r="BB60" i="1"/>
  <c r="BA60" i="1" s="1"/>
  <c r="AV61" i="1"/>
  <c r="AU61" i="1" s="1"/>
  <c r="AZ61" i="1"/>
  <c r="AY61" i="1" s="1"/>
  <c r="BB61" i="1"/>
  <c r="BA61" i="1" s="1"/>
  <c r="AV62" i="1"/>
  <c r="AU62" i="1" s="1"/>
  <c r="AZ62" i="1"/>
  <c r="AY62" i="1" s="1"/>
  <c r="BB62" i="1"/>
  <c r="BA62" i="1" s="1"/>
  <c r="AV63" i="1"/>
  <c r="AU63" i="1" s="1"/>
  <c r="AZ63" i="1"/>
  <c r="AY63" i="1" s="1"/>
  <c r="BB63" i="1"/>
  <c r="BA63" i="1" s="1"/>
  <c r="AV64" i="1"/>
  <c r="AU64" i="1" s="1"/>
  <c r="AZ64" i="1"/>
  <c r="AY64" i="1" s="1"/>
  <c r="BB64" i="1"/>
  <c r="BA64" i="1" s="1"/>
  <c r="AV65" i="1"/>
  <c r="AU65" i="1" s="1"/>
  <c r="AZ65" i="1"/>
  <c r="AY65" i="1" s="1"/>
  <c r="BB65" i="1"/>
  <c r="BA65" i="1" s="1"/>
  <c r="AV66" i="1"/>
  <c r="AU66" i="1" s="1"/>
  <c r="AZ66" i="1"/>
  <c r="AY66" i="1" s="1"/>
  <c r="BB66" i="1"/>
  <c r="BA66" i="1" s="1"/>
  <c r="AV67" i="1"/>
  <c r="AU67" i="1" s="1"/>
  <c r="AZ67" i="1"/>
  <c r="AY67" i="1" s="1"/>
  <c r="BB67" i="1"/>
  <c r="BA67" i="1" s="1"/>
  <c r="AV68" i="1"/>
  <c r="AU68" i="1" s="1"/>
  <c r="AZ68" i="1"/>
  <c r="AY68" i="1" s="1"/>
  <c r="BB68" i="1"/>
  <c r="BA68" i="1" s="1"/>
  <c r="AV69" i="1"/>
  <c r="AU69" i="1" s="1"/>
  <c r="AZ69" i="1"/>
  <c r="AY69" i="1" s="1"/>
  <c r="BB69" i="1"/>
  <c r="BA69" i="1" s="1"/>
  <c r="AV70" i="1"/>
  <c r="AU70" i="1" s="1"/>
  <c r="AZ70" i="1"/>
  <c r="AY70" i="1" s="1"/>
  <c r="BB70" i="1"/>
  <c r="BA70" i="1" s="1"/>
  <c r="AV71" i="1"/>
  <c r="AU71" i="1" s="1"/>
  <c r="AZ71" i="1"/>
  <c r="AY71" i="1" s="1"/>
  <c r="BB71" i="1"/>
  <c r="BA71" i="1" s="1"/>
  <c r="AV72" i="1"/>
  <c r="AU72" i="1" s="1"/>
  <c r="AZ72" i="1"/>
  <c r="AY72" i="1" s="1"/>
  <c r="BB72" i="1"/>
  <c r="BA72" i="1" s="1"/>
  <c r="AV73" i="1"/>
  <c r="AU73" i="1" s="1"/>
  <c r="AZ73" i="1"/>
  <c r="AY73" i="1" s="1"/>
  <c r="BB73" i="1"/>
  <c r="BA73" i="1" s="1"/>
  <c r="AV74" i="1"/>
  <c r="AU74" i="1" s="1"/>
  <c r="AZ74" i="1"/>
  <c r="AY74" i="1" s="1"/>
  <c r="BB74" i="1"/>
  <c r="BA74" i="1" s="1"/>
  <c r="AV75" i="1"/>
  <c r="AU75" i="1" s="1"/>
  <c r="AZ75" i="1"/>
  <c r="AY75" i="1" s="1"/>
  <c r="BB75" i="1"/>
  <c r="BA75" i="1" s="1"/>
  <c r="AV76" i="1"/>
  <c r="AU76" i="1" s="1"/>
  <c r="AZ76" i="1"/>
  <c r="AY76" i="1" s="1"/>
  <c r="BB76" i="1"/>
  <c r="BA76" i="1" s="1"/>
  <c r="AV77" i="1"/>
  <c r="AU77" i="1" s="1"/>
  <c r="AZ77" i="1"/>
  <c r="AY77" i="1" s="1"/>
  <c r="BB77" i="1"/>
  <c r="BA77" i="1" s="1"/>
  <c r="AV78" i="1"/>
  <c r="AU78" i="1" s="1"/>
  <c r="AZ78" i="1"/>
  <c r="AY78" i="1" s="1"/>
  <c r="BB78" i="1"/>
  <c r="BA78" i="1" s="1"/>
  <c r="AV79" i="1"/>
  <c r="AU79" i="1" s="1"/>
  <c r="AZ79" i="1"/>
  <c r="AY79" i="1" s="1"/>
  <c r="BB79" i="1"/>
  <c r="BA79" i="1" s="1"/>
  <c r="AV80" i="1"/>
  <c r="AU80" i="1" s="1"/>
  <c r="AZ80" i="1"/>
  <c r="AY80" i="1" s="1"/>
  <c r="BB80" i="1"/>
  <c r="BA80" i="1" s="1"/>
  <c r="AV81" i="1"/>
  <c r="AU81" i="1" s="1"/>
  <c r="AZ81" i="1"/>
  <c r="AY81" i="1" s="1"/>
  <c r="BB81" i="1"/>
  <c r="BA81" i="1" s="1"/>
  <c r="AV82" i="1"/>
  <c r="AU82" i="1" s="1"/>
  <c r="AZ82" i="1"/>
  <c r="AY82" i="1" s="1"/>
  <c r="BB82" i="1"/>
  <c r="BA82" i="1" s="1"/>
  <c r="AV83" i="1"/>
  <c r="AU83" i="1" s="1"/>
  <c r="AZ83" i="1"/>
  <c r="AY83" i="1" s="1"/>
  <c r="BB83" i="1"/>
  <c r="BA83" i="1" s="1"/>
  <c r="AV84" i="1"/>
  <c r="AU84" i="1" s="1"/>
  <c r="AZ84" i="1"/>
  <c r="AY84" i="1" s="1"/>
  <c r="BB84" i="1"/>
  <c r="BA84" i="1" s="1"/>
  <c r="AV85" i="1"/>
  <c r="AU85" i="1" s="1"/>
  <c r="AZ85" i="1"/>
  <c r="AY85" i="1" s="1"/>
  <c r="BB85" i="1"/>
  <c r="BA85" i="1" s="1"/>
  <c r="AV86" i="1"/>
  <c r="AU86" i="1" s="1"/>
  <c r="AZ86" i="1"/>
  <c r="AY86" i="1" s="1"/>
  <c r="BB86" i="1"/>
  <c r="BA86" i="1" s="1"/>
  <c r="AV87" i="1"/>
  <c r="AU87" i="1" s="1"/>
  <c r="AZ87" i="1"/>
  <c r="AY87" i="1" s="1"/>
  <c r="BB87" i="1"/>
  <c r="BA87" i="1" s="1"/>
  <c r="AV88" i="1"/>
  <c r="AU88" i="1" s="1"/>
  <c r="AZ88" i="1"/>
  <c r="AY88" i="1" s="1"/>
  <c r="BB88" i="1"/>
  <c r="BA88" i="1" s="1"/>
  <c r="AV89" i="1"/>
  <c r="AU89" i="1" s="1"/>
  <c r="AZ89" i="1"/>
  <c r="AY89" i="1" s="1"/>
  <c r="BB89" i="1"/>
  <c r="BA89" i="1" s="1"/>
  <c r="AV90" i="1"/>
  <c r="AU90" i="1" s="1"/>
  <c r="AZ90" i="1"/>
  <c r="AY90" i="1" s="1"/>
  <c r="BB90" i="1"/>
  <c r="BA90" i="1" s="1"/>
  <c r="AV91" i="1"/>
  <c r="AU91" i="1" s="1"/>
  <c r="AZ91" i="1"/>
  <c r="AY91" i="1" s="1"/>
  <c r="BB91" i="1"/>
  <c r="BA91" i="1" s="1"/>
  <c r="AV92" i="1"/>
  <c r="AU92" i="1" s="1"/>
  <c r="AZ92" i="1"/>
  <c r="AY92" i="1" s="1"/>
  <c r="BB92" i="1"/>
  <c r="BA92" i="1" s="1"/>
  <c r="AV93" i="1"/>
  <c r="AU93" i="1" s="1"/>
  <c r="AZ93" i="1"/>
  <c r="AY93" i="1" s="1"/>
  <c r="BB93" i="1"/>
  <c r="BA93" i="1" s="1"/>
  <c r="AV94" i="1"/>
  <c r="AU94" i="1" s="1"/>
  <c r="AZ94" i="1"/>
  <c r="AY94" i="1" s="1"/>
  <c r="BB94" i="1"/>
  <c r="BA94" i="1" s="1"/>
  <c r="AV95" i="1"/>
  <c r="AU95" i="1" s="1"/>
  <c r="AZ95" i="1"/>
  <c r="AY95" i="1" s="1"/>
  <c r="BB95" i="1"/>
  <c r="BA95" i="1" s="1"/>
  <c r="AV96" i="1"/>
  <c r="AU96" i="1" s="1"/>
  <c r="AZ96" i="1"/>
  <c r="AY96" i="1" s="1"/>
  <c r="BB96" i="1"/>
  <c r="BA96" i="1" s="1"/>
  <c r="AV97" i="1"/>
  <c r="AU97" i="1" s="1"/>
  <c r="AZ97" i="1"/>
  <c r="AY97" i="1" s="1"/>
  <c r="BB97" i="1"/>
  <c r="BA97" i="1" s="1"/>
  <c r="AV98" i="1"/>
  <c r="AU98" i="1" s="1"/>
  <c r="AZ98" i="1"/>
  <c r="AY98" i="1" s="1"/>
  <c r="BB98" i="1"/>
  <c r="BA98" i="1" s="1"/>
  <c r="AV99" i="1"/>
  <c r="AU99" i="1" s="1"/>
  <c r="AZ99" i="1"/>
  <c r="AY99" i="1" s="1"/>
  <c r="BB99" i="1"/>
  <c r="BA99" i="1" s="1"/>
  <c r="AV100" i="1"/>
  <c r="AU100" i="1" s="1"/>
  <c r="AZ100" i="1"/>
  <c r="AY100" i="1" s="1"/>
  <c r="BB100" i="1"/>
  <c r="BA100" i="1" s="1"/>
  <c r="AV101" i="1"/>
  <c r="AU101" i="1" s="1"/>
  <c r="AZ101" i="1"/>
  <c r="AY101" i="1" s="1"/>
  <c r="BB101" i="1"/>
  <c r="BA101" i="1" s="1"/>
  <c r="AV102" i="1"/>
  <c r="AU102" i="1" s="1"/>
  <c r="AZ102" i="1"/>
  <c r="AY102" i="1" s="1"/>
  <c r="BB102" i="1"/>
  <c r="BA102" i="1" s="1"/>
  <c r="AV103" i="1"/>
  <c r="AU103" i="1" s="1"/>
  <c r="AZ103" i="1"/>
  <c r="AY103" i="1" s="1"/>
  <c r="BB103" i="1"/>
  <c r="BA103" i="1" s="1"/>
  <c r="AV104" i="1"/>
  <c r="AU104" i="1" s="1"/>
  <c r="AZ104" i="1"/>
  <c r="AY104" i="1" s="1"/>
  <c r="BB104" i="1"/>
  <c r="BA104" i="1" s="1"/>
  <c r="AV105" i="1"/>
  <c r="AU105" i="1" s="1"/>
  <c r="AZ105" i="1"/>
  <c r="AY105" i="1" s="1"/>
  <c r="BB105" i="1"/>
  <c r="BA105" i="1" s="1"/>
  <c r="AV106" i="1"/>
  <c r="AU106" i="1" s="1"/>
  <c r="AZ106" i="1"/>
  <c r="AY106" i="1" s="1"/>
  <c r="BB106" i="1"/>
  <c r="BA106" i="1" s="1"/>
  <c r="AV107" i="1"/>
  <c r="AU107" i="1" s="1"/>
  <c r="AZ107" i="1"/>
  <c r="AY107" i="1" s="1"/>
  <c r="BB107" i="1"/>
  <c r="BA107" i="1" s="1"/>
  <c r="AV108" i="1"/>
  <c r="AU108" i="1" s="1"/>
  <c r="AZ108" i="1"/>
  <c r="AY108" i="1" s="1"/>
  <c r="BB108" i="1"/>
  <c r="BA108" i="1" s="1"/>
  <c r="AV109" i="1"/>
  <c r="AU109" i="1" s="1"/>
  <c r="AZ109" i="1"/>
  <c r="AY109" i="1" s="1"/>
  <c r="BB109" i="1"/>
  <c r="BA109" i="1" s="1"/>
  <c r="AV110" i="1"/>
  <c r="AU110" i="1" s="1"/>
  <c r="AZ110" i="1"/>
  <c r="AY110" i="1" s="1"/>
  <c r="BB110" i="1"/>
  <c r="BA110" i="1" s="1"/>
  <c r="BB45" i="1"/>
  <c r="BA45" i="1" s="1"/>
  <c r="AZ45" i="1"/>
  <c r="AY45" i="1" s="1"/>
  <c r="AV45" i="1"/>
  <c r="AU45" i="1" s="1"/>
  <c r="BB27" i="1"/>
  <c r="BB28" i="1"/>
  <c r="BB29" i="1"/>
  <c r="BB30" i="1"/>
  <c r="BB33" i="1"/>
  <c r="BB34" i="1"/>
  <c r="BB35" i="1"/>
  <c r="BB36" i="1"/>
  <c r="AZ12" i="1"/>
  <c r="AZ13" i="1"/>
  <c r="AZ14" i="1"/>
  <c r="AZ15" i="1"/>
  <c r="AZ16" i="1"/>
  <c r="AZ18" i="1"/>
  <c r="AZ21" i="1"/>
  <c r="AZ22" i="1"/>
  <c r="AZ23" i="1"/>
  <c r="AZ27" i="1"/>
  <c r="AZ28" i="1"/>
  <c r="AZ29" i="1"/>
  <c r="AZ30" i="1"/>
  <c r="AZ33" i="1"/>
  <c r="AZ34" i="1"/>
  <c r="AZ35" i="1"/>
  <c r="AZ36" i="1"/>
  <c r="AZ37" i="1"/>
  <c r="AV12" i="1"/>
  <c r="AV13" i="1"/>
  <c r="AV14" i="1"/>
  <c r="AV15" i="1"/>
  <c r="AV16" i="1"/>
  <c r="AV18" i="1"/>
  <c r="AV21" i="1"/>
  <c r="AV37" i="1" s="1"/>
  <c r="AV22" i="1"/>
  <c r="AV23" i="1"/>
  <c r="AV27" i="1"/>
  <c r="AV28" i="1"/>
  <c r="AV29" i="1"/>
  <c r="AV30" i="1"/>
  <c r="AV33" i="1"/>
  <c r="AV34" i="1"/>
  <c r="AV35" i="1"/>
  <c r="AV36" i="1"/>
  <c r="AZ11" i="1"/>
  <c r="AV11" i="1"/>
  <c r="AS12" i="1"/>
  <c r="AT12" i="1"/>
  <c r="AS13" i="1"/>
  <c r="AT13" i="1"/>
  <c r="AS14" i="1"/>
  <c r="AT14" i="1"/>
  <c r="AS15" i="1"/>
  <c r="AT15" i="1"/>
  <c r="AS16" i="1"/>
  <c r="AT16" i="1"/>
  <c r="AS18" i="1"/>
  <c r="AT18" i="1"/>
  <c r="AS24" i="1"/>
  <c r="AT24" i="1"/>
  <c r="AS25" i="1"/>
  <c r="AT25" i="1"/>
  <c r="AS26" i="1"/>
  <c r="AT26" i="1"/>
  <c r="AS27" i="1"/>
  <c r="AT27" i="1"/>
  <c r="AS28" i="1"/>
  <c r="AT28" i="1"/>
  <c r="AS29" i="1"/>
  <c r="AT29" i="1"/>
  <c r="AS30" i="1"/>
  <c r="AT30" i="1"/>
  <c r="AS33" i="1"/>
  <c r="AT33" i="1"/>
  <c r="AS34" i="1"/>
  <c r="AT34" i="1"/>
  <c r="AS35" i="1"/>
  <c r="AT35" i="1"/>
  <c r="AS36" i="1"/>
  <c r="AT36" i="1"/>
  <c r="AS37" i="1"/>
  <c r="AT11" i="1"/>
  <c r="AS11" i="1"/>
  <c r="AQ44" i="1"/>
  <c r="AS44" i="1" s="1"/>
  <c r="AQ42" i="1"/>
  <c r="AS42" i="1" s="1"/>
  <c r="AR133" i="1"/>
  <c r="AQ133" i="1" s="1"/>
  <c r="AR134" i="1"/>
  <c r="AQ134" i="1" s="1"/>
  <c r="AR135" i="1"/>
  <c r="AQ135" i="1" s="1"/>
  <c r="AR136" i="1"/>
  <c r="AQ136" i="1" s="1"/>
  <c r="AR137" i="1"/>
  <c r="AQ137" i="1" s="1"/>
  <c r="AR139" i="1"/>
  <c r="AQ139" i="1" s="1"/>
  <c r="AR140" i="1"/>
  <c r="AQ140" i="1" s="1"/>
  <c r="AR132" i="1"/>
  <c r="AQ132" i="1" s="1"/>
  <c r="AR112" i="1"/>
  <c r="AQ112" i="1" s="1"/>
  <c r="AR111" i="1"/>
  <c r="AQ111" i="1" s="1"/>
  <c r="AR117" i="1"/>
  <c r="AQ117" i="1" s="1"/>
  <c r="AR118" i="1"/>
  <c r="AQ118" i="1" s="1"/>
  <c r="AR119" i="1"/>
  <c r="AQ119" i="1" s="1"/>
  <c r="AR120" i="1"/>
  <c r="AQ120" i="1" s="1"/>
  <c r="AR121" i="1"/>
  <c r="AQ121" i="1" s="1"/>
  <c r="AR122" i="1"/>
  <c r="AQ122" i="1" s="1"/>
  <c r="AR123" i="1"/>
  <c r="AQ123" i="1" s="1"/>
  <c r="AR124" i="1"/>
  <c r="AQ124" i="1" s="1"/>
  <c r="AR125" i="1"/>
  <c r="AQ125" i="1" s="1"/>
  <c r="AR126" i="1"/>
  <c r="AQ126" i="1" s="1"/>
  <c r="AR127" i="1"/>
  <c r="AQ127" i="1" s="1"/>
  <c r="AR130" i="1"/>
  <c r="AQ130" i="1" s="1"/>
  <c r="AR131" i="1"/>
  <c r="AQ131" i="1" s="1"/>
  <c r="AR116" i="1"/>
  <c r="AQ116" i="1" s="1"/>
  <c r="AR46" i="1"/>
  <c r="AQ46" i="1" s="1"/>
  <c r="AR47" i="1"/>
  <c r="AQ47" i="1" s="1"/>
  <c r="AT47" i="1" s="1"/>
  <c r="AR48" i="1"/>
  <c r="AQ48" i="1" s="1"/>
  <c r="AR49" i="1"/>
  <c r="AQ49" i="1" s="1"/>
  <c r="AR50" i="1"/>
  <c r="AQ50" i="1" s="1"/>
  <c r="AR51" i="1"/>
  <c r="AQ51" i="1" s="1"/>
  <c r="AT51" i="1" s="1"/>
  <c r="AR52" i="1"/>
  <c r="AQ52" i="1" s="1"/>
  <c r="AR53" i="1"/>
  <c r="AQ53" i="1" s="1"/>
  <c r="AR54" i="1"/>
  <c r="AQ54" i="1" s="1"/>
  <c r="AR55" i="1"/>
  <c r="AQ55" i="1" s="1"/>
  <c r="AS55" i="1" s="1"/>
  <c r="AR56" i="1"/>
  <c r="AQ56" i="1" s="1"/>
  <c r="AR57" i="1"/>
  <c r="AQ57" i="1" s="1"/>
  <c r="AR58" i="1"/>
  <c r="AQ58" i="1" s="1"/>
  <c r="AR59" i="1"/>
  <c r="AQ59" i="1" s="1"/>
  <c r="AS59" i="1" s="1"/>
  <c r="AR60" i="1"/>
  <c r="AQ60" i="1" s="1"/>
  <c r="AR61" i="1"/>
  <c r="AQ61" i="1" s="1"/>
  <c r="AR62" i="1"/>
  <c r="AQ62" i="1" s="1"/>
  <c r="AR63" i="1"/>
  <c r="AQ63" i="1" s="1"/>
  <c r="AS63" i="1" s="1"/>
  <c r="AR64" i="1"/>
  <c r="AQ64" i="1" s="1"/>
  <c r="AR65" i="1"/>
  <c r="AQ65" i="1" s="1"/>
  <c r="AR66" i="1"/>
  <c r="AQ66" i="1" s="1"/>
  <c r="AR67" i="1"/>
  <c r="AQ67" i="1" s="1"/>
  <c r="AS67" i="1" s="1"/>
  <c r="AR68" i="1"/>
  <c r="AQ68" i="1" s="1"/>
  <c r="AR69" i="1"/>
  <c r="AQ69" i="1" s="1"/>
  <c r="AR70" i="1"/>
  <c r="AQ70" i="1" s="1"/>
  <c r="AR71" i="1"/>
  <c r="AQ71" i="1" s="1"/>
  <c r="AS71" i="1" s="1"/>
  <c r="AR72" i="1"/>
  <c r="AQ72" i="1" s="1"/>
  <c r="AR73" i="1"/>
  <c r="AQ73" i="1" s="1"/>
  <c r="AR74" i="1"/>
  <c r="AQ74" i="1" s="1"/>
  <c r="AR75" i="1"/>
  <c r="AQ75" i="1" s="1"/>
  <c r="AS75" i="1" s="1"/>
  <c r="AR76" i="1"/>
  <c r="AQ76" i="1" s="1"/>
  <c r="AR77" i="1"/>
  <c r="AQ77" i="1" s="1"/>
  <c r="AR78" i="1"/>
  <c r="AQ78" i="1" s="1"/>
  <c r="AR79" i="1"/>
  <c r="AQ79" i="1" s="1"/>
  <c r="AS79" i="1" s="1"/>
  <c r="AR80" i="1"/>
  <c r="AQ80" i="1" s="1"/>
  <c r="AR81" i="1"/>
  <c r="AQ81" i="1" s="1"/>
  <c r="AR82" i="1"/>
  <c r="AQ82" i="1" s="1"/>
  <c r="AR83" i="1"/>
  <c r="AQ83" i="1" s="1"/>
  <c r="AS83" i="1" s="1"/>
  <c r="AR84" i="1"/>
  <c r="AQ84" i="1" s="1"/>
  <c r="AR85" i="1"/>
  <c r="AQ85" i="1" s="1"/>
  <c r="AR86" i="1"/>
  <c r="AQ86" i="1" s="1"/>
  <c r="AR87" i="1"/>
  <c r="AQ87" i="1" s="1"/>
  <c r="AS87" i="1" s="1"/>
  <c r="AR88" i="1"/>
  <c r="AQ88" i="1" s="1"/>
  <c r="AR89" i="1"/>
  <c r="AQ89" i="1" s="1"/>
  <c r="AR90" i="1"/>
  <c r="AQ90" i="1" s="1"/>
  <c r="AR91" i="1"/>
  <c r="AQ91" i="1" s="1"/>
  <c r="AS91" i="1" s="1"/>
  <c r="AR92" i="1"/>
  <c r="AQ92" i="1" s="1"/>
  <c r="AR93" i="1"/>
  <c r="AQ93" i="1" s="1"/>
  <c r="AR94" i="1"/>
  <c r="AQ94" i="1" s="1"/>
  <c r="AR95" i="1"/>
  <c r="AQ95" i="1" s="1"/>
  <c r="AS95" i="1" s="1"/>
  <c r="AR96" i="1"/>
  <c r="AQ96" i="1" s="1"/>
  <c r="AR97" i="1"/>
  <c r="AQ97" i="1" s="1"/>
  <c r="AR98" i="1"/>
  <c r="AQ98" i="1" s="1"/>
  <c r="AR99" i="1"/>
  <c r="AQ99" i="1" s="1"/>
  <c r="AS99" i="1" s="1"/>
  <c r="AR100" i="1"/>
  <c r="AQ100" i="1" s="1"/>
  <c r="AR101" i="1"/>
  <c r="AQ101" i="1" s="1"/>
  <c r="AR102" i="1"/>
  <c r="AQ102" i="1" s="1"/>
  <c r="AR103" i="1"/>
  <c r="AQ103" i="1" s="1"/>
  <c r="AS103" i="1" s="1"/>
  <c r="AR104" i="1"/>
  <c r="AQ104" i="1" s="1"/>
  <c r="AR105" i="1"/>
  <c r="AQ105" i="1" s="1"/>
  <c r="AR106" i="1"/>
  <c r="AQ106" i="1" s="1"/>
  <c r="AR107" i="1"/>
  <c r="AQ107" i="1" s="1"/>
  <c r="AS107" i="1" s="1"/>
  <c r="AR108" i="1"/>
  <c r="AQ108" i="1" s="1"/>
  <c r="AR109" i="1"/>
  <c r="AQ109" i="1" s="1"/>
  <c r="AR110" i="1"/>
  <c r="AQ110" i="1" s="1"/>
  <c r="AR45" i="1"/>
  <c r="AQ45" i="1" s="1"/>
  <c r="AR12" i="1"/>
  <c r="AR21" i="1" s="1"/>
  <c r="AR13" i="1"/>
  <c r="AR14" i="1"/>
  <c r="AR15" i="1"/>
  <c r="AR16" i="1"/>
  <c r="AR18" i="1"/>
  <c r="AR27" i="1"/>
  <c r="AR28" i="1"/>
  <c r="AR29" i="1"/>
  <c r="AR30" i="1"/>
  <c r="AR33" i="1"/>
  <c r="AR34" i="1"/>
  <c r="AR35" i="1"/>
  <c r="AR36" i="1"/>
  <c r="AR37" i="1"/>
  <c r="AR11" i="1"/>
  <c r="AO140" i="1"/>
  <c r="AN140" i="1" s="1"/>
  <c r="AP140" i="1" s="1"/>
  <c r="AO139" i="1"/>
  <c r="AN139" i="1" s="1"/>
  <c r="AP139" i="1" s="1"/>
  <c r="AO137" i="1"/>
  <c r="AN137" i="1" s="1"/>
  <c r="AP137" i="1" s="1"/>
  <c r="AO136" i="1"/>
  <c r="AN136" i="1" s="1"/>
  <c r="AP136" i="1" s="1"/>
  <c r="AO135" i="1"/>
  <c r="AN135" i="1" s="1"/>
  <c r="AP135" i="1" s="1"/>
  <c r="AO134" i="1"/>
  <c r="AN134" i="1" s="1"/>
  <c r="AP134" i="1" s="1"/>
  <c r="AO133" i="1"/>
  <c r="AN133" i="1" s="1"/>
  <c r="AP133" i="1" s="1"/>
  <c r="AO132" i="1"/>
  <c r="AN132" i="1" s="1"/>
  <c r="AP132" i="1" s="1"/>
  <c r="AO112" i="1"/>
  <c r="AN112" i="1" s="1"/>
  <c r="AP112" i="1" s="1"/>
  <c r="AO111" i="1"/>
  <c r="AN111" i="1" s="1"/>
  <c r="AP111" i="1" s="1"/>
  <c r="AO117" i="1"/>
  <c r="AN117" i="1" s="1"/>
  <c r="AP117" i="1" s="1"/>
  <c r="AO118" i="1"/>
  <c r="AN118" i="1" s="1"/>
  <c r="AP118" i="1" s="1"/>
  <c r="AO119" i="1"/>
  <c r="AN119" i="1" s="1"/>
  <c r="AP119" i="1" s="1"/>
  <c r="AO120" i="1"/>
  <c r="AN120" i="1" s="1"/>
  <c r="AP120" i="1" s="1"/>
  <c r="AO121" i="1"/>
  <c r="AN121" i="1" s="1"/>
  <c r="AP121" i="1" s="1"/>
  <c r="AO122" i="1"/>
  <c r="AN122" i="1" s="1"/>
  <c r="AP122" i="1" s="1"/>
  <c r="AO123" i="1"/>
  <c r="AN123" i="1" s="1"/>
  <c r="AP123" i="1" s="1"/>
  <c r="AO124" i="1"/>
  <c r="AN124" i="1" s="1"/>
  <c r="AP124" i="1" s="1"/>
  <c r="AO125" i="1"/>
  <c r="AN125" i="1" s="1"/>
  <c r="AP125" i="1" s="1"/>
  <c r="AO126" i="1"/>
  <c r="AN126" i="1" s="1"/>
  <c r="AP126" i="1" s="1"/>
  <c r="AO127" i="1"/>
  <c r="AN127" i="1" s="1"/>
  <c r="AP127" i="1" s="1"/>
  <c r="AO130" i="1"/>
  <c r="AN130" i="1" s="1"/>
  <c r="AP130" i="1" s="1"/>
  <c r="AO131" i="1"/>
  <c r="AN131" i="1" s="1"/>
  <c r="AP131" i="1" s="1"/>
  <c r="AO116" i="1"/>
  <c r="AN116" i="1" s="1"/>
  <c r="AP116" i="1" s="1"/>
  <c r="AO46" i="1"/>
  <c r="AN46" i="1" s="1"/>
  <c r="AP46" i="1" s="1"/>
  <c r="AO47" i="1"/>
  <c r="AN47" i="1" s="1"/>
  <c r="AP47" i="1" s="1"/>
  <c r="AO48" i="1"/>
  <c r="AN48" i="1" s="1"/>
  <c r="AP48" i="1" s="1"/>
  <c r="AO49" i="1"/>
  <c r="AN49" i="1" s="1"/>
  <c r="AP49" i="1" s="1"/>
  <c r="AO50" i="1"/>
  <c r="AN50" i="1" s="1"/>
  <c r="AP50" i="1" s="1"/>
  <c r="AO51" i="1"/>
  <c r="AN51" i="1" s="1"/>
  <c r="AP51" i="1" s="1"/>
  <c r="AO52" i="1"/>
  <c r="AN52" i="1" s="1"/>
  <c r="AP52" i="1" s="1"/>
  <c r="AO53" i="1"/>
  <c r="AN53" i="1" s="1"/>
  <c r="AP53" i="1" s="1"/>
  <c r="AO54" i="1"/>
  <c r="AN54" i="1" s="1"/>
  <c r="AP54" i="1" s="1"/>
  <c r="AO55" i="1"/>
  <c r="AN55" i="1" s="1"/>
  <c r="AP55" i="1" s="1"/>
  <c r="AO56" i="1"/>
  <c r="AN56" i="1" s="1"/>
  <c r="AP56" i="1" s="1"/>
  <c r="AO57" i="1"/>
  <c r="AN57" i="1" s="1"/>
  <c r="AP57" i="1" s="1"/>
  <c r="AO58" i="1"/>
  <c r="AN58" i="1" s="1"/>
  <c r="AP58" i="1" s="1"/>
  <c r="AO59" i="1"/>
  <c r="AN59" i="1" s="1"/>
  <c r="AP59" i="1" s="1"/>
  <c r="AO60" i="1"/>
  <c r="AN60" i="1" s="1"/>
  <c r="AP60" i="1" s="1"/>
  <c r="AO61" i="1"/>
  <c r="AN61" i="1" s="1"/>
  <c r="AP61" i="1" s="1"/>
  <c r="AO62" i="1"/>
  <c r="AN62" i="1" s="1"/>
  <c r="AP62" i="1" s="1"/>
  <c r="AO63" i="1"/>
  <c r="AN63" i="1" s="1"/>
  <c r="AP63" i="1" s="1"/>
  <c r="AO64" i="1"/>
  <c r="AN64" i="1" s="1"/>
  <c r="AP64" i="1" s="1"/>
  <c r="AO65" i="1"/>
  <c r="AN65" i="1" s="1"/>
  <c r="AP65" i="1" s="1"/>
  <c r="AO66" i="1"/>
  <c r="AN66" i="1" s="1"/>
  <c r="AP66" i="1" s="1"/>
  <c r="AO67" i="1"/>
  <c r="AN67" i="1" s="1"/>
  <c r="AP67" i="1" s="1"/>
  <c r="AO68" i="1"/>
  <c r="AN68" i="1" s="1"/>
  <c r="AP68" i="1" s="1"/>
  <c r="AO69" i="1"/>
  <c r="AN69" i="1" s="1"/>
  <c r="AP69" i="1" s="1"/>
  <c r="AO70" i="1"/>
  <c r="AN70" i="1" s="1"/>
  <c r="AP70" i="1" s="1"/>
  <c r="AO71" i="1"/>
  <c r="AN71" i="1" s="1"/>
  <c r="AP71" i="1" s="1"/>
  <c r="AO72" i="1"/>
  <c r="AN72" i="1" s="1"/>
  <c r="AP72" i="1" s="1"/>
  <c r="AO73" i="1"/>
  <c r="AN73" i="1" s="1"/>
  <c r="AP73" i="1" s="1"/>
  <c r="AO74" i="1"/>
  <c r="AN74" i="1" s="1"/>
  <c r="AP74" i="1" s="1"/>
  <c r="AO75" i="1"/>
  <c r="AN75" i="1" s="1"/>
  <c r="AP75" i="1" s="1"/>
  <c r="AO76" i="1"/>
  <c r="AN76" i="1" s="1"/>
  <c r="AP76" i="1" s="1"/>
  <c r="AO77" i="1"/>
  <c r="AN77" i="1" s="1"/>
  <c r="AP77" i="1" s="1"/>
  <c r="AO78" i="1"/>
  <c r="AN78" i="1" s="1"/>
  <c r="AP78" i="1" s="1"/>
  <c r="AO79" i="1"/>
  <c r="AN79" i="1" s="1"/>
  <c r="AP79" i="1" s="1"/>
  <c r="AO80" i="1"/>
  <c r="AN80" i="1" s="1"/>
  <c r="AP80" i="1" s="1"/>
  <c r="AO81" i="1"/>
  <c r="AN81" i="1" s="1"/>
  <c r="AP81" i="1" s="1"/>
  <c r="AO82" i="1"/>
  <c r="AN82" i="1" s="1"/>
  <c r="AP82" i="1" s="1"/>
  <c r="AO83" i="1"/>
  <c r="AN83" i="1" s="1"/>
  <c r="AP83" i="1" s="1"/>
  <c r="AO84" i="1"/>
  <c r="AN84" i="1" s="1"/>
  <c r="AP84" i="1" s="1"/>
  <c r="AO85" i="1"/>
  <c r="AN85" i="1" s="1"/>
  <c r="AP85" i="1" s="1"/>
  <c r="AO86" i="1"/>
  <c r="AN86" i="1" s="1"/>
  <c r="AP86" i="1" s="1"/>
  <c r="AO87" i="1"/>
  <c r="AN87" i="1" s="1"/>
  <c r="AP87" i="1" s="1"/>
  <c r="AO88" i="1"/>
  <c r="AN88" i="1" s="1"/>
  <c r="AP88" i="1" s="1"/>
  <c r="AO89" i="1"/>
  <c r="AN89" i="1" s="1"/>
  <c r="AP89" i="1" s="1"/>
  <c r="AO90" i="1"/>
  <c r="AN90" i="1" s="1"/>
  <c r="AP90" i="1" s="1"/>
  <c r="AO91" i="1"/>
  <c r="AN91" i="1" s="1"/>
  <c r="AP91" i="1" s="1"/>
  <c r="AO92" i="1"/>
  <c r="AN92" i="1" s="1"/>
  <c r="AP92" i="1" s="1"/>
  <c r="AO93" i="1"/>
  <c r="AN93" i="1" s="1"/>
  <c r="AP93" i="1" s="1"/>
  <c r="AO94" i="1"/>
  <c r="AN94" i="1" s="1"/>
  <c r="AP94" i="1" s="1"/>
  <c r="AO95" i="1"/>
  <c r="AN95" i="1" s="1"/>
  <c r="AP95" i="1" s="1"/>
  <c r="AO96" i="1"/>
  <c r="AN96" i="1" s="1"/>
  <c r="AP96" i="1" s="1"/>
  <c r="AO97" i="1"/>
  <c r="AN97" i="1" s="1"/>
  <c r="AP97" i="1" s="1"/>
  <c r="AO98" i="1"/>
  <c r="AN98" i="1" s="1"/>
  <c r="AP98" i="1" s="1"/>
  <c r="AO99" i="1"/>
  <c r="AN99" i="1" s="1"/>
  <c r="AP99" i="1" s="1"/>
  <c r="AO100" i="1"/>
  <c r="AN100" i="1" s="1"/>
  <c r="AP100" i="1" s="1"/>
  <c r="AO101" i="1"/>
  <c r="AN101" i="1" s="1"/>
  <c r="AP101" i="1" s="1"/>
  <c r="AO102" i="1"/>
  <c r="AN102" i="1" s="1"/>
  <c r="AP102" i="1" s="1"/>
  <c r="AO103" i="1"/>
  <c r="AN103" i="1" s="1"/>
  <c r="AP103" i="1" s="1"/>
  <c r="AO104" i="1"/>
  <c r="AN104" i="1" s="1"/>
  <c r="AP104" i="1" s="1"/>
  <c r="AO105" i="1"/>
  <c r="AN105" i="1" s="1"/>
  <c r="AP105" i="1" s="1"/>
  <c r="AO106" i="1"/>
  <c r="AN106" i="1" s="1"/>
  <c r="AP106" i="1" s="1"/>
  <c r="AO107" i="1"/>
  <c r="AN107" i="1" s="1"/>
  <c r="AP107" i="1" s="1"/>
  <c r="AO108" i="1"/>
  <c r="AN108" i="1" s="1"/>
  <c r="AP108" i="1" s="1"/>
  <c r="AO109" i="1"/>
  <c r="AN109" i="1" s="1"/>
  <c r="AP109" i="1" s="1"/>
  <c r="AO110" i="1"/>
  <c r="AN110" i="1" s="1"/>
  <c r="AP110" i="1" s="1"/>
  <c r="AO45" i="1"/>
  <c r="AN45" i="1" s="1"/>
  <c r="AP45" i="1" s="1"/>
  <c r="AN44" i="1"/>
  <c r="AP44" i="1" s="1"/>
  <c r="AN42" i="1"/>
  <c r="AP42" i="1" s="1"/>
  <c r="AP12" i="1"/>
  <c r="AP13" i="1"/>
  <c r="AP14" i="1"/>
  <c r="AP15" i="1"/>
  <c r="AP16" i="1"/>
  <c r="AP18" i="1"/>
  <c r="AP21" i="1"/>
  <c r="AP22" i="1"/>
  <c r="AP23" i="1"/>
  <c r="AP24" i="1"/>
  <c r="AP25" i="1"/>
  <c r="AP26" i="1"/>
  <c r="AP27" i="1"/>
  <c r="AP28" i="1"/>
  <c r="AP29" i="1"/>
  <c r="AP30" i="1"/>
  <c r="AP33" i="1"/>
  <c r="AP34" i="1"/>
  <c r="AP35" i="1"/>
  <c r="AP36" i="1"/>
  <c r="AP37" i="1"/>
  <c r="AM133" i="1"/>
  <c r="AM134" i="1"/>
  <c r="AM135" i="1"/>
  <c r="AM136" i="1"/>
  <c r="AM137" i="1"/>
  <c r="AM139" i="1"/>
  <c r="AM140" i="1"/>
  <c r="AL140" i="1" s="1"/>
  <c r="AM132" i="1"/>
  <c r="AM112" i="1"/>
  <c r="AM111" i="1"/>
  <c r="AM117" i="1"/>
  <c r="AM118" i="1"/>
  <c r="AM119" i="1"/>
  <c r="AM120" i="1"/>
  <c r="AM121" i="1"/>
  <c r="AM122" i="1"/>
  <c r="AM123" i="1"/>
  <c r="AM124" i="1"/>
  <c r="AM125" i="1"/>
  <c r="AM126" i="1"/>
  <c r="AM127" i="1"/>
  <c r="AM130" i="1"/>
  <c r="AM131" i="1"/>
  <c r="AM116"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10" i="1"/>
  <c r="AM45" i="1"/>
  <c r="AL44" i="1"/>
  <c r="AL42" i="1"/>
  <c r="AJ44" i="1"/>
  <c r="AJ42" i="1"/>
  <c r="AK133" i="1"/>
  <c r="AJ133" i="1" s="1"/>
  <c r="AK134" i="1"/>
  <c r="AJ134" i="1" s="1"/>
  <c r="AK135" i="1"/>
  <c r="AJ135" i="1" s="1"/>
  <c r="AK136" i="1"/>
  <c r="AJ136" i="1" s="1"/>
  <c r="AK137" i="1"/>
  <c r="AJ137" i="1" s="1"/>
  <c r="AK139" i="1"/>
  <c r="AJ139" i="1" s="1"/>
  <c r="AK140" i="1"/>
  <c r="AJ140" i="1" s="1"/>
  <c r="AK132" i="1"/>
  <c r="AJ132" i="1" s="1"/>
  <c r="AK117" i="1"/>
  <c r="AJ117" i="1" s="1"/>
  <c r="AK118" i="1"/>
  <c r="AJ118" i="1" s="1"/>
  <c r="AK119" i="1"/>
  <c r="AJ119" i="1" s="1"/>
  <c r="AK120" i="1"/>
  <c r="AJ120" i="1" s="1"/>
  <c r="AK121" i="1"/>
  <c r="AJ121" i="1" s="1"/>
  <c r="AK122" i="1"/>
  <c r="AJ122" i="1" s="1"/>
  <c r="AK123" i="1"/>
  <c r="AJ123" i="1" s="1"/>
  <c r="AK124" i="1"/>
  <c r="AJ124" i="1" s="1"/>
  <c r="AK125" i="1"/>
  <c r="AJ125" i="1" s="1"/>
  <c r="AK126" i="1"/>
  <c r="AJ126" i="1" s="1"/>
  <c r="AK127" i="1"/>
  <c r="AJ127" i="1" s="1"/>
  <c r="AK130" i="1"/>
  <c r="AJ130" i="1" s="1"/>
  <c r="AK131" i="1"/>
  <c r="AJ131" i="1" s="1"/>
  <c r="AK116" i="1"/>
  <c r="AJ116" i="1" s="1"/>
  <c r="AK112" i="1"/>
  <c r="AJ112" i="1" s="1"/>
  <c r="AK111" i="1"/>
  <c r="AJ111" i="1" s="1"/>
  <c r="AK46" i="1"/>
  <c r="AJ46" i="1" s="1"/>
  <c r="AK47" i="1"/>
  <c r="AJ47" i="1" s="1"/>
  <c r="AK48" i="1"/>
  <c r="AJ48" i="1" s="1"/>
  <c r="AK49" i="1"/>
  <c r="AJ49" i="1" s="1"/>
  <c r="AK50" i="1"/>
  <c r="AJ50" i="1" s="1"/>
  <c r="AK51" i="1"/>
  <c r="AJ51" i="1" s="1"/>
  <c r="AK52" i="1"/>
  <c r="AJ52" i="1" s="1"/>
  <c r="AK53" i="1"/>
  <c r="AJ53" i="1" s="1"/>
  <c r="AK54" i="1"/>
  <c r="AJ54" i="1" s="1"/>
  <c r="AK55" i="1"/>
  <c r="AJ55" i="1" s="1"/>
  <c r="AK56" i="1"/>
  <c r="AJ56" i="1" s="1"/>
  <c r="AK57" i="1"/>
  <c r="AJ57" i="1" s="1"/>
  <c r="AK58" i="1"/>
  <c r="AJ58" i="1" s="1"/>
  <c r="AK59" i="1"/>
  <c r="AJ59" i="1" s="1"/>
  <c r="AK60" i="1"/>
  <c r="AJ60" i="1" s="1"/>
  <c r="AK61" i="1"/>
  <c r="AJ61" i="1" s="1"/>
  <c r="AK62" i="1"/>
  <c r="AJ62" i="1" s="1"/>
  <c r="AK63" i="1"/>
  <c r="AJ63" i="1" s="1"/>
  <c r="AK64" i="1"/>
  <c r="AJ64" i="1" s="1"/>
  <c r="AK65" i="1"/>
  <c r="AJ65" i="1" s="1"/>
  <c r="AK66" i="1"/>
  <c r="AJ66" i="1" s="1"/>
  <c r="AK67" i="1"/>
  <c r="AJ67" i="1" s="1"/>
  <c r="AK68" i="1"/>
  <c r="AJ68" i="1" s="1"/>
  <c r="AK69" i="1"/>
  <c r="AJ69" i="1" s="1"/>
  <c r="AK70" i="1"/>
  <c r="AJ70" i="1" s="1"/>
  <c r="AK71" i="1"/>
  <c r="AJ71" i="1" s="1"/>
  <c r="AK72" i="1"/>
  <c r="AJ72" i="1" s="1"/>
  <c r="AK73" i="1"/>
  <c r="AJ73" i="1" s="1"/>
  <c r="AK74" i="1"/>
  <c r="AJ74" i="1" s="1"/>
  <c r="AK75" i="1"/>
  <c r="AJ75" i="1" s="1"/>
  <c r="AK76" i="1"/>
  <c r="AJ76" i="1" s="1"/>
  <c r="AK77" i="1"/>
  <c r="AJ77" i="1" s="1"/>
  <c r="AK78" i="1"/>
  <c r="AJ78" i="1" s="1"/>
  <c r="AK79" i="1"/>
  <c r="AJ79" i="1" s="1"/>
  <c r="AK80" i="1"/>
  <c r="AJ80" i="1" s="1"/>
  <c r="AK81" i="1"/>
  <c r="AJ81" i="1" s="1"/>
  <c r="AK82" i="1"/>
  <c r="AJ82" i="1" s="1"/>
  <c r="AK83" i="1"/>
  <c r="AJ83" i="1" s="1"/>
  <c r="AK84" i="1"/>
  <c r="AJ84" i="1" s="1"/>
  <c r="AK85" i="1"/>
  <c r="AJ85" i="1" s="1"/>
  <c r="AK86" i="1"/>
  <c r="AJ86" i="1" s="1"/>
  <c r="AK87" i="1"/>
  <c r="AJ87" i="1" s="1"/>
  <c r="AK88" i="1"/>
  <c r="AJ88" i="1" s="1"/>
  <c r="AK89" i="1"/>
  <c r="AJ89" i="1" s="1"/>
  <c r="AK90" i="1"/>
  <c r="AJ90" i="1" s="1"/>
  <c r="AK91" i="1"/>
  <c r="AJ91" i="1" s="1"/>
  <c r="AK92" i="1"/>
  <c r="AJ92" i="1" s="1"/>
  <c r="AK93" i="1"/>
  <c r="AJ93" i="1" s="1"/>
  <c r="AK94" i="1"/>
  <c r="AJ94" i="1" s="1"/>
  <c r="AK95" i="1"/>
  <c r="AJ95" i="1" s="1"/>
  <c r="AK96" i="1"/>
  <c r="AJ96" i="1" s="1"/>
  <c r="AK97" i="1"/>
  <c r="AJ97" i="1" s="1"/>
  <c r="AK98" i="1"/>
  <c r="AJ98" i="1" s="1"/>
  <c r="AK99" i="1"/>
  <c r="AJ99" i="1" s="1"/>
  <c r="AK100" i="1"/>
  <c r="AJ100" i="1" s="1"/>
  <c r="AK101" i="1"/>
  <c r="AJ101" i="1" s="1"/>
  <c r="AK102" i="1"/>
  <c r="AJ102" i="1" s="1"/>
  <c r="AK103" i="1"/>
  <c r="AJ103" i="1" s="1"/>
  <c r="AK104" i="1"/>
  <c r="AJ104" i="1" s="1"/>
  <c r="AK105" i="1"/>
  <c r="AJ105" i="1" s="1"/>
  <c r="AK106" i="1"/>
  <c r="AJ106" i="1" s="1"/>
  <c r="AK107" i="1"/>
  <c r="AJ107" i="1" s="1"/>
  <c r="AK108" i="1"/>
  <c r="AJ108" i="1" s="1"/>
  <c r="AK109" i="1"/>
  <c r="AJ109" i="1" s="1"/>
  <c r="AK110" i="1"/>
  <c r="AJ110" i="1" s="1"/>
  <c r="AK45" i="1"/>
  <c r="AJ45" i="1" s="1"/>
  <c r="AF133" i="1"/>
  <c r="AF134" i="1"/>
  <c r="AF135" i="1"/>
  <c r="AF136" i="1"/>
  <c r="AF137" i="1"/>
  <c r="AF139" i="1"/>
  <c r="AF140" i="1"/>
  <c r="AF132" i="1"/>
  <c r="AF117" i="1"/>
  <c r="AF118" i="1"/>
  <c r="AF119" i="1"/>
  <c r="AF120" i="1"/>
  <c r="AF121" i="1"/>
  <c r="AF122" i="1"/>
  <c r="AF123" i="1"/>
  <c r="AF124" i="1"/>
  <c r="AF125" i="1"/>
  <c r="AF126" i="1"/>
  <c r="AF127" i="1"/>
  <c r="AF130" i="1"/>
  <c r="AF131" i="1"/>
  <c r="AF116" i="1"/>
  <c r="AF112" i="1"/>
  <c r="AF111" i="1"/>
  <c r="AF46" i="1"/>
  <c r="AF47" i="1"/>
  <c r="AF48" i="1"/>
  <c r="AF49" i="1"/>
  <c r="AF50" i="1"/>
  <c r="AF51" i="1"/>
  <c r="AF52" i="1"/>
  <c r="AF53" i="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AF89" i="1"/>
  <c r="AF90" i="1"/>
  <c r="AF91" i="1"/>
  <c r="AF92" i="1"/>
  <c r="AF93" i="1"/>
  <c r="AF94" i="1"/>
  <c r="AF95" i="1"/>
  <c r="AF96" i="1"/>
  <c r="AF97" i="1"/>
  <c r="AF98" i="1"/>
  <c r="AF99" i="1"/>
  <c r="AF100" i="1"/>
  <c r="AF101" i="1"/>
  <c r="AF102" i="1"/>
  <c r="AF103" i="1"/>
  <c r="AF104" i="1"/>
  <c r="AF105" i="1"/>
  <c r="AF106" i="1"/>
  <c r="AF107" i="1"/>
  <c r="AF108" i="1"/>
  <c r="AF109" i="1"/>
  <c r="AF110" i="1"/>
  <c r="AF45" i="1"/>
  <c r="X79" i="1"/>
  <c r="Y79" i="1" s="1"/>
  <c r="X80" i="1"/>
  <c r="Y80" i="1" s="1"/>
  <c r="X81" i="1"/>
  <c r="V46" i="1"/>
  <c r="V47" i="1"/>
  <c r="V48" i="1"/>
  <c r="V49" i="1"/>
  <c r="V50" i="1"/>
  <c r="V51" i="1"/>
  <c r="V52" i="1"/>
  <c r="V53" i="1"/>
  <c r="V54" i="1"/>
  <c r="V55" i="1"/>
  <c r="V56" i="1"/>
  <c r="V57" i="1"/>
  <c r="V58" i="1"/>
  <c r="V59" i="1"/>
  <c r="V60" i="1"/>
  <c r="V61" i="1"/>
  <c r="V62" i="1"/>
  <c r="V63" i="1"/>
  <c r="V64" i="1"/>
  <c r="V65" i="1"/>
  <c r="V66" i="1"/>
  <c r="V67" i="1"/>
  <c r="V68" i="1"/>
  <c r="V69" i="1"/>
  <c r="V70" i="1"/>
  <c r="V71" i="1"/>
  <c r="X71" i="1" s="1"/>
  <c r="Y71" i="1" s="1"/>
  <c r="V45" i="1"/>
  <c r="S12" i="1"/>
  <c r="T12" i="1"/>
  <c r="S13" i="1"/>
  <c r="T13" i="1"/>
  <c r="S14" i="1"/>
  <c r="T14" i="1"/>
  <c r="S15" i="1"/>
  <c r="T15" i="1"/>
  <c r="S16" i="1"/>
  <c r="T16" i="1"/>
  <c r="S18" i="1"/>
  <c r="T18" i="1"/>
  <c r="S24" i="1"/>
  <c r="T24" i="1"/>
  <c r="S25" i="1"/>
  <c r="T25" i="1"/>
  <c r="S26" i="1"/>
  <c r="T26" i="1"/>
  <c r="S27" i="1"/>
  <c r="T27" i="1"/>
  <c r="S28" i="1"/>
  <c r="T28" i="1"/>
  <c r="S29" i="1"/>
  <c r="T29" i="1"/>
  <c r="S30" i="1"/>
  <c r="T30" i="1"/>
  <c r="S33" i="1"/>
  <c r="T33" i="1"/>
  <c r="S34" i="1"/>
  <c r="T34" i="1"/>
  <c r="S35" i="1"/>
  <c r="T35" i="1"/>
  <c r="S36" i="1"/>
  <c r="T36" i="1"/>
  <c r="S37" i="1"/>
  <c r="T37" i="1"/>
  <c r="T11" i="1"/>
  <c r="S11" i="1"/>
  <c r="R133" i="1"/>
  <c r="R134" i="1"/>
  <c r="R135" i="1"/>
  <c r="R136" i="1"/>
  <c r="R137" i="1"/>
  <c r="R139" i="1"/>
  <c r="R140" i="1"/>
  <c r="R132" i="1"/>
  <c r="R117" i="1"/>
  <c r="R118" i="1"/>
  <c r="R119" i="1"/>
  <c r="R120" i="1"/>
  <c r="R121" i="1"/>
  <c r="R122" i="1"/>
  <c r="R123" i="1"/>
  <c r="R124" i="1"/>
  <c r="R125" i="1"/>
  <c r="R126" i="1"/>
  <c r="R127" i="1"/>
  <c r="R130" i="1"/>
  <c r="R131" i="1"/>
  <c r="R116" i="1"/>
  <c r="R112" i="1"/>
  <c r="R111" i="1"/>
  <c r="R110" i="1"/>
  <c r="R109" i="1"/>
  <c r="R108" i="1"/>
  <c r="R107" i="1"/>
  <c r="R106" i="1"/>
  <c r="R105" i="1"/>
  <c r="R104" i="1"/>
  <c r="R103" i="1"/>
  <c r="R102" i="1"/>
  <c r="R101" i="1"/>
  <c r="R100" i="1"/>
  <c r="R99" i="1"/>
  <c r="R98" i="1"/>
  <c r="R97" i="1"/>
  <c r="R96" i="1"/>
  <c r="R95" i="1"/>
  <c r="R94" i="1"/>
  <c r="R93" i="1"/>
  <c r="R92" i="1"/>
  <c r="R91" i="1"/>
  <c r="R90" i="1"/>
  <c r="R89" i="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Q45" i="1" s="1"/>
  <c r="T45" i="1" s="1"/>
  <c r="I133" i="1"/>
  <c r="I134" i="1"/>
  <c r="I135" i="1"/>
  <c r="I136" i="1"/>
  <c r="I137" i="1"/>
  <c r="I139" i="1"/>
  <c r="I140" i="1"/>
  <c r="I132" i="1"/>
  <c r="I117" i="1"/>
  <c r="I118" i="1"/>
  <c r="I119" i="1"/>
  <c r="I120" i="1"/>
  <c r="I121" i="1"/>
  <c r="I122" i="1"/>
  <c r="I123" i="1"/>
  <c r="I124" i="1"/>
  <c r="I125" i="1"/>
  <c r="I126" i="1"/>
  <c r="I127" i="1"/>
  <c r="I130" i="1"/>
  <c r="I131" i="1"/>
  <c r="I116" i="1"/>
  <c r="I112" i="1"/>
  <c r="I111"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45" i="1"/>
  <c r="E136" i="1"/>
  <c r="AR22" i="1" l="1"/>
  <c r="E111" i="1"/>
  <c r="E122" i="1"/>
  <c r="E131" i="1"/>
  <c r="E112" i="1"/>
  <c r="E133" i="1"/>
  <c r="E123" i="1"/>
  <c r="E137" i="1"/>
  <c r="E109" i="1"/>
  <c r="J104" i="1"/>
  <c r="L104" i="1"/>
  <c r="K104" i="1"/>
  <c r="J92" i="1"/>
  <c r="K92" i="1"/>
  <c r="L92" i="1"/>
  <c r="J84" i="1"/>
  <c r="K84" i="1"/>
  <c r="L84" i="1"/>
  <c r="J76" i="1"/>
  <c r="K76" i="1"/>
  <c r="L76" i="1"/>
  <c r="J64" i="1"/>
  <c r="K64" i="1"/>
  <c r="L64" i="1"/>
  <c r="J48" i="1"/>
  <c r="K48" i="1"/>
  <c r="L48" i="1"/>
  <c r="K45" i="1"/>
  <c r="L45" i="1"/>
  <c r="J45" i="1"/>
  <c r="L99" i="1"/>
  <c r="K99" i="1"/>
  <c r="J99" i="1"/>
  <c r="L91" i="1"/>
  <c r="K91" i="1"/>
  <c r="J91" i="1"/>
  <c r="K83" i="1"/>
  <c r="L83" i="1"/>
  <c r="J83" i="1"/>
  <c r="K75" i="1"/>
  <c r="L75" i="1"/>
  <c r="J75" i="1"/>
  <c r="K67" i="1"/>
  <c r="L67" i="1"/>
  <c r="J67" i="1"/>
  <c r="K59" i="1"/>
  <c r="L59" i="1"/>
  <c r="J59" i="1"/>
  <c r="K51" i="1"/>
  <c r="L51" i="1"/>
  <c r="J51" i="1"/>
  <c r="K116" i="1"/>
  <c r="L116" i="1"/>
  <c r="K123" i="1"/>
  <c r="L123" i="1"/>
  <c r="K140" i="1"/>
  <c r="L140" i="1"/>
  <c r="E135" i="1"/>
  <c r="K102" i="1"/>
  <c r="J102" i="1"/>
  <c r="L102" i="1"/>
  <c r="K90" i="1"/>
  <c r="L90" i="1"/>
  <c r="J90" i="1"/>
  <c r="K82" i="1"/>
  <c r="J82" i="1"/>
  <c r="L82" i="1"/>
  <c r="K70" i="1"/>
  <c r="L70" i="1"/>
  <c r="J70" i="1"/>
  <c r="K58" i="1"/>
  <c r="L58" i="1"/>
  <c r="J58" i="1"/>
  <c r="K46" i="1"/>
  <c r="J46" i="1"/>
  <c r="L46" i="1"/>
  <c r="K122" i="1"/>
  <c r="L122" i="1"/>
  <c r="K134" i="1"/>
  <c r="L134" i="1"/>
  <c r="J108" i="1"/>
  <c r="L108" i="1"/>
  <c r="K108" i="1"/>
  <c r="J100" i="1"/>
  <c r="L100" i="1"/>
  <c r="K100" i="1"/>
  <c r="J96" i="1"/>
  <c r="L96" i="1"/>
  <c r="K96" i="1"/>
  <c r="J88" i="1"/>
  <c r="L88" i="1"/>
  <c r="K88" i="1"/>
  <c r="J80" i="1"/>
  <c r="K80" i="1"/>
  <c r="L80" i="1"/>
  <c r="J72" i="1"/>
  <c r="K72" i="1"/>
  <c r="L72" i="1"/>
  <c r="J68" i="1"/>
  <c r="K68" i="1"/>
  <c r="L68" i="1"/>
  <c r="J60" i="1"/>
  <c r="K60" i="1"/>
  <c r="L60" i="1"/>
  <c r="J56" i="1"/>
  <c r="K56" i="1"/>
  <c r="L56" i="1"/>
  <c r="J52" i="1"/>
  <c r="K52" i="1"/>
  <c r="L52" i="1"/>
  <c r="J112" i="1"/>
  <c r="L112" i="1"/>
  <c r="K112" i="1"/>
  <c r="K124" i="1"/>
  <c r="L124" i="1"/>
  <c r="K120" i="1"/>
  <c r="L120" i="1"/>
  <c r="M132" i="1"/>
  <c r="K132" i="1"/>
  <c r="L132" i="1"/>
  <c r="K136" i="1"/>
  <c r="L136" i="1"/>
  <c r="L107" i="1"/>
  <c r="K107" i="1"/>
  <c r="J107" i="1"/>
  <c r="L103" i="1"/>
  <c r="J103" i="1"/>
  <c r="K103" i="1"/>
  <c r="L95" i="1"/>
  <c r="K95" i="1"/>
  <c r="J95" i="1"/>
  <c r="L87" i="1"/>
  <c r="K87" i="1"/>
  <c r="J87" i="1"/>
  <c r="K79" i="1"/>
  <c r="L79" i="1"/>
  <c r="J79" i="1"/>
  <c r="K71" i="1"/>
  <c r="L71" i="1"/>
  <c r="J71" i="1"/>
  <c r="K63" i="1"/>
  <c r="L63" i="1"/>
  <c r="J63" i="1"/>
  <c r="K55" i="1"/>
  <c r="L55" i="1"/>
  <c r="J55" i="1"/>
  <c r="K47" i="1"/>
  <c r="L47" i="1"/>
  <c r="J47" i="1"/>
  <c r="K127" i="1"/>
  <c r="L127" i="1"/>
  <c r="K119" i="1"/>
  <c r="L119" i="1"/>
  <c r="K135" i="1"/>
  <c r="L135" i="1"/>
  <c r="K110" i="1"/>
  <c r="J110" i="1"/>
  <c r="L110" i="1"/>
  <c r="K106" i="1"/>
  <c r="L106" i="1"/>
  <c r="J106" i="1"/>
  <c r="K98" i="1"/>
  <c r="L98" i="1"/>
  <c r="J98" i="1"/>
  <c r="K94" i="1"/>
  <c r="J94" i="1"/>
  <c r="L94" i="1"/>
  <c r="K86" i="1"/>
  <c r="J86" i="1"/>
  <c r="L86" i="1"/>
  <c r="K78" i="1"/>
  <c r="J78" i="1"/>
  <c r="L78" i="1"/>
  <c r="K74" i="1"/>
  <c r="L74" i="1"/>
  <c r="J74" i="1"/>
  <c r="K66" i="1"/>
  <c r="L66" i="1"/>
  <c r="J66" i="1"/>
  <c r="K62" i="1"/>
  <c r="J62" i="1"/>
  <c r="L62" i="1"/>
  <c r="K54" i="1"/>
  <c r="J54" i="1"/>
  <c r="L54" i="1"/>
  <c r="K50" i="1"/>
  <c r="L50" i="1"/>
  <c r="J50" i="1"/>
  <c r="K131" i="1"/>
  <c r="L131" i="1"/>
  <c r="K126" i="1"/>
  <c r="L126" i="1"/>
  <c r="K118" i="1"/>
  <c r="L118" i="1"/>
  <c r="K139" i="1"/>
  <c r="L139" i="1"/>
  <c r="L109" i="1"/>
  <c r="K109" i="1"/>
  <c r="J109" i="1"/>
  <c r="L105" i="1"/>
  <c r="J105" i="1"/>
  <c r="K105" i="1"/>
  <c r="L101" i="1"/>
  <c r="K101" i="1"/>
  <c r="J101" i="1"/>
  <c r="L97" i="1"/>
  <c r="K97" i="1"/>
  <c r="J97" i="1"/>
  <c r="L93" i="1"/>
  <c r="J93" i="1"/>
  <c r="K93" i="1"/>
  <c r="L89" i="1"/>
  <c r="J89" i="1"/>
  <c r="K89" i="1"/>
  <c r="K85" i="1"/>
  <c r="L85" i="1"/>
  <c r="J85" i="1"/>
  <c r="K81" i="1"/>
  <c r="L81" i="1"/>
  <c r="J81" i="1"/>
  <c r="K77" i="1"/>
  <c r="L77" i="1"/>
  <c r="J77" i="1"/>
  <c r="K73" i="1"/>
  <c r="L73" i="1"/>
  <c r="J73" i="1"/>
  <c r="K69" i="1"/>
  <c r="L69" i="1"/>
  <c r="J69" i="1"/>
  <c r="K65" i="1"/>
  <c r="L65" i="1"/>
  <c r="J65" i="1"/>
  <c r="K61" i="1"/>
  <c r="L61" i="1"/>
  <c r="J61" i="1"/>
  <c r="K57" i="1"/>
  <c r="L57" i="1"/>
  <c r="J57" i="1"/>
  <c r="K53" i="1"/>
  <c r="L53" i="1"/>
  <c r="J53" i="1"/>
  <c r="K49" i="1"/>
  <c r="L49" i="1"/>
  <c r="J49" i="1"/>
  <c r="L111" i="1"/>
  <c r="J111" i="1"/>
  <c r="K111" i="1"/>
  <c r="K130" i="1"/>
  <c r="L130" i="1"/>
  <c r="K125" i="1"/>
  <c r="L125" i="1"/>
  <c r="K121" i="1"/>
  <c r="L121" i="1"/>
  <c r="K117" i="1"/>
  <c r="L117" i="1"/>
  <c r="K137" i="1"/>
  <c r="L137" i="1"/>
  <c r="K133" i="1"/>
  <c r="L133" i="1"/>
  <c r="E130" i="1"/>
  <c r="E120" i="1"/>
  <c r="E121" i="1"/>
  <c r="E140" i="1"/>
  <c r="E132" i="1"/>
  <c r="Z81" i="1"/>
  <c r="Y81" i="1"/>
  <c r="E110" i="1"/>
  <c r="W71" i="1"/>
  <c r="Z71" i="1"/>
  <c r="W79" i="1"/>
  <c r="Z79" i="1"/>
  <c r="W80" i="1"/>
  <c r="Z80" i="1"/>
  <c r="AT42" i="1"/>
  <c r="AT44" i="1"/>
  <c r="N132" i="1"/>
  <c r="O132" i="1"/>
  <c r="J132" i="1"/>
  <c r="AS109" i="1"/>
  <c r="AT109" i="1"/>
  <c r="AS105" i="1"/>
  <c r="AT105" i="1"/>
  <c r="AS101" i="1"/>
  <c r="AT101" i="1"/>
  <c r="AS97" i="1"/>
  <c r="AT97" i="1"/>
  <c r="AS93" i="1"/>
  <c r="AT93" i="1"/>
  <c r="AS89" i="1"/>
  <c r="AT89" i="1"/>
  <c r="AS85" i="1"/>
  <c r="AT85" i="1"/>
  <c r="AS81" i="1"/>
  <c r="AT81" i="1"/>
  <c r="AS77" i="1"/>
  <c r="AT77" i="1"/>
  <c r="AS73" i="1"/>
  <c r="AT73" i="1"/>
  <c r="AS69" i="1"/>
  <c r="AT69" i="1"/>
  <c r="AS65" i="1"/>
  <c r="AT65" i="1"/>
  <c r="AS61" i="1"/>
  <c r="AT61" i="1"/>
  <c r="AS57" i="1"/>
  <c r="AT57" i="1"/>
  <c r="AT53" i="1"/>
  <c r="AS53" i="1"/>
  <c r="AT49" i="1"/>
  <c r="AS49" i="1"/>
  <c r="AS116" i="1"/>
  <c r="AT116" i="1"/>
  <c r="AS127" i="1"/>
  <c r="AT127" i="1"/>
  <c r="AS123" i="1"/>
  <c r="AT123" i="1"/>
  <c r="AS119" i="1"/>
  <c r="AT119" i="1"/>
  <c r="AT112" i="1"/>
  <c r="AS112" i="1"/>
  <c r="AS137" i="1"/>
  <c r="AT137" i="1"/>
  <c r="AS133" i="1"/>
  <c r="AT133" i="1"/>
  <c r="P132" i="1"/>
  <c r="AT108" i="1"/>
  <c r="AS108" i="1"/>
  <c r="AT104" i="1"/>
  <c r="AS104" i="1"/>
  <c r="AT100" i="1"/>
  <c r="AS100" i="1"/>
  <c r="AT96" i="1"/>
  <c r="AS96" i="1"/>
  <c r="AT92" i="1"/>
  <c r="AS92" i="1"/>
  <c r="AT88" i="1"/>
  <c r="AS88" i="1"/>
  <c r="AT84" i="1"/>
  <c r="AS84" i="1"/>
  <c r="AT80" i="1"/>
  <c r="AS80" i="1"/>
  <c r="AT76" i="1"/>
  <c r="AS76" i="1"/>
  <c r="AT72" i="1"/>
  <c r="AS72" i="1"/>
  <c r="AT68" i="1"/>
  <c r="AS68" i="1"/>
  <c r="AT64" i="1"/>
  <c r="AS64" i="1"/>
  <c r="AT60" i="1"/>
  <c r="AS60" i="1"/>
  <c r="AS56" i="1"/>
  <c r="AT56" i="1"/>
  <c r="AS52" i="1"/>
  <c r="AT52" i="1"/>
  <c r="AS48" i="1"/>
  <c r="AT48" i="1"/>
  <c r="AT45" i="1"/>
  <c r="AS45" i="1"/>
  <c r="AS130" i="1"/>
  <c r="AT130" i="1"/>
  <c r="AS125" i="1"/>
  <c r="AT125" i="1"/>
  <c r="AS121" i="1"/>
  <c r="AT121" i="1"/>
  <c r="AS117" i="1"/>
  <c r="AT117" i="1"/>
  <c r="AT110" i="1"/>
  <c r="AS110" i="1"/>
  <c r="AT106" i="1"/>
  <c r="AS106" i="1"/>
  <c r="AT102" i="1"/>
  <c r="AS102" i="1"/>
  <c r="AT98" i="1"/>
  <c r="AS98" i="1"/>
  <c r="AT94" i="1"/>
  <c r="AS94" i="1"/>
  <c r="AT90" i="1"/>
  <c r="AS90" i="1"/>
  <c r="AT86" i="1"/>
  <c r="AS86" i="1"/>
  <c r="AT82" i="1"/>
  <c r="AS82" i="1"/>
  <c r="AT78" i="1"/>
  <c r="AS78" i="1"/>
  <c r="AT74" i="1"/>
  <c r="AS74" i="1"/>
  <c r="AT70" i="1"/>
  <c r="AS70" i="1"/>
  <c r="AT66" i="1"/>
  <c r="AS66" i="1"/>
  <c r="AT62" i="1"/>
  <c r="AS62" i="1"/>
  <c r="AT58" i="1"/>
  <c r="AS58" i="1"/>
  <c r="AS54" i="1"/>
  <c r="AT54" i="1"/>
  <c r="AS50" i="1"/>
  <c r="AT50" i="1"/>
  <c r="AS46" i="1"/>
  <c r="AT46" i="1"/>
  <c r="AS124" i="1"/>
  <c r="AT124" i="1"/>
  <c r="AS120" i="1"/>
  <c r="AT120" i="1"/>
  <c r="AS111" i="1"/>
  <c r="AT111" i="1"/>
  <c r="AS139" i="1"/>
  <c r="AT139" i="1"/>
  <c r="AS134" i="1"/>
  <c r="AT134" i="1"/>
  <c r="AT55" i="1"/>
  <c r="AT107" i="1"/>
  <c r="AT103" i="1"/>
  <c r="AT99" i="1"/>
  <c r="AT95" i="1"/>
  <c r="AT91" i="1"/>
  <c r="AT87" i="1"/>
  <c r="AT83" i="1"/>
  <c r="AT79" i="1"/>
  <c r="AT75" i="1"/>
  <c r="AT71" i="1"/>
  <c r="AT67" i="1"/>
  <c r="AT63" i="1"/>
  <c r="AT59" i="1"/>
  <c r="AS136" i="1"/>
  <c r="AT136" i="1"/>
  <c r="AS132" i="1"/>
  <c r="AT132" i="1"/>
  <c r="AS51" i="1"/>
  <c r="AS47" i="1"/>
  <c r="AS140" i="1"/>
  <c r="AT140" i="1"/>
  <c r="AS135" i="1"/>
  <c r="AT135" i="1"/>
  <c r="AS131" i="1"/>
  <c r="AT131" i="1"/>
  <c r="AS126" i="1"/>
  <c r="AT126" i="1"/>
  <c r="AS122" i="1"/>
  <c r="AT122" i="1"/>
  <c r="AS118" i="1"/>
  <c r="AT118" i="1"/>
  <c r="BA134" i="1"/>
  <c r="BA139" i="1"/>
  <c r="S45" i="1"/>
  <c r="AR23" i="1" l="1"/>
  <c r="AT23" i="1" s="1"/>
  <c r="AR20" i="1"/>
  <c r="AS21" i="1"/>
  <c r="AT21" i="1"/>
  <c r="AS23" i="1" l="1"/>
  <c r="AT20" i="1"/>
  <c r="AS20" i="1"/>
  <c r="AT22" i="1"/>
  <c r="AS22" i="1"/>
  <c r="E127" i="1"/>
  <c r="E126" i="1"/>
  <c r="E125" i="1"/>
  <c r="E124" i="1"/>
  <c r="E119" i="1"/>
  <c r="E118" i="1"/>
  <c r="E117" i="1"/>
  <c r="E116"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37" i="1"/>
  <c r="E36" i="1"/>
  <c r="E35" i="1"/>
  <c r="E34" i="1"/>
  <c r="E33" i="1"/>
  <c r="E30" i="1"/>
  <c r="E29" i="1"/>
  <c r="E28" i="1"/>
  <c r="E27" i="1"/>
  <c r="E23" i="1"/>
  <c r="E22" i="1"/>
  <c r="E21" i="1"/>
  <c r="E18" i="1"/>
  <c r="E16" i="1"/>
  <c r="E15" i="1"/>
  <c r="E13" i="1"/>
  <c r="E12" i="1"/>
  <c r="E11" i="1"/>
  <c r="AF12" i="1" l="1"/>
  <c r="AF13" i="1"/>
  <c r="AF14" i="1"/>
  <c r="AF15" i="1"/>
  <c r="AF16" i="1"/>
  <c r="AF18" i="1"/>
  <c r="AF21" i="1" s="1"/>
  <c r="AF22" i="1" s="1"/>
  <c r="AF23" i="1" s="1"/>
  <c r="AF27" i="1"/>
  <c r="AF28" i="1"/>
  <c r="AF29" i="1"/>
  <c r="AF30" i="1"/>
  <c r="AF33" i="1"/>
  <c r="AF34" i="1"/>
  <c r="AF35" i="1"/>
  <c r="AF36" i="1"/>
  <c r="AF37" i="1"/>
  <c r="AF11" i="1"/>
  <c r="X117" i="1"/>
  <c r="X118" i="1"/>
  <c r="X119" i="1"/>
  <c r="X120" i="1"/>
  <c r="X121" i="1"/>
  <c r="X122" i="1"/>
  <c r="X123" i="1"/>
  <c r="X124" i="1"/>
  <c r="X125" i="1"/>
  <c r="X126" i="1"/>
  <c r="X127" i="1"/>
  <c r="X130" i="1"/>
  <c r="X131" i="1"/>
  <c r="X132" i="1"/>
  <c r="X133" i="1"/>
  <c r="X134" i="1"/>
  <c r="X135" i="1"/>
  <c r="X136" i="1"/>
  <c r="X137" i="1"/>
  <c r="X139" i="1"/>
  <c r="X140" i="1"/>
  <c r="X116" i="1"/>
  <c r="X44" i="1"/>
  <c r="X45" i="1"/>
  <c r="X46" i="1"/>
  <c r="X47" i="1"/>
  <c r="X48" i="1"/>
  <c r="X49" i="1"/>
  <c r="X50" i="1"/>
  <c r="X51" i="1"/>
  <c r="X52" i="1"/>
  <c r="X53" i="1"/>
  <c r="X54" i="1"/>
  <c r="X55" i="1"/>
  <c r="X56" i="1"/>
  <c r="X57" i="1"/>
  <c r="X58" i="1"/>
  <c r="X59" i="1"/>
  <c r="X60" i="1"/>
  <c r="X61" i="1"/>
  <c r="X62" i="1"/>
  <c r="X63" i="1"/>
  <c r="X64" i="1"/>
  <c r="X65" i="1"/>
  <c r="X66" i="1"/>
  <c r="X67" i="1"/>
  <c r="X68" i="1"/>
  <c r="X69" i="1"/>
  <c r="X70"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42" i="1"/>
  <c r="U117" i="1"/>
  <c r="U118" i="1"/>
  <c r="U119" i="1"/>
  <c r="U120" i="1"/>
  <c r="U121" i="1"/>
  <c r="U122" i="1"/>
  <c r="U123" i="1"/>
  <c r="U124" i="1"/>
  <c r="U125" i="1"/>
  <c r="U126" i="1"/>
  <c r="U127" i="1"/>
  <c r="U130" i="1"/>
  <c r="U131" i="1"/>
  <c r="U132" i="1"/>
  <c r="U133" i="1"/>
  <c r="U134" i="1"/>
  <c r="U135" i="1"/>
  <c r="U136" i="1"/>
  <c r="U137" i="1"/>
  <c r="U139" i="1"/>
  <c r="U140" i="1"/>
  <c r="U116"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79"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42" i="1"/>
  <c r="Q117" i="1"/>
  <c r="Q118" i="1"/>
  <c r="Q119" i="1"/>
  <c r="Q124" i="1"/>
  <c r="Q125" i="1"/>
  <c r="Q126" i="1"/>
  <c r="Q127" i="1"/>
  <c r="Q130" i="1"/>
  <c r="Q131" i="1"/>
  <c r="Q116" i="1"/>
  <c r="Q44"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42" i="1"/>
  <c r="Q121" i="1"/>
  <c r="Q120" i="1"/>
  <c r="Z107" i="1" l="1"/>
  <c r="Y107" i="1"/>
  <c r="Z99" i="1"/>
  <c r="Y99" i="1"/>
  <c r="Z91" i="1"/>
  <c r="Y91" i="1"/>
  <c r="Z83" i="1"/>
  <c r="Y83" i="1"/>
  <c r="Z137" i="1"/>
  <c r="Y137" i="1"/>
  <c r="Z110" i="1"/>
  <c r="Y110" i="1"/>
  <c r="Z106" i="1"/>
  <c r="Y106" i="1"/>
  <c r="Z102" i="1"/>
  <c r="Y102" i="1"/>
  <c r="Z98" i="1"/>
  <c r="Y98" i="1"/>
  <c r="Z94" i="1"/>
  <c r="Y94" i="1"/>
  <c r="Z90" i="1"/>
  <c r="Y90" i="1"/>
  <c r="Z86" i="1"/>
  <c r="Y86" i="1"/>
  <c r="Z82" i="1"/>
  <c r="Y82" i="1"/>
  <c r="Z116" i="1"/>
  <c r="Y116" i="1"/>
  <c r="Z136" i="1"/>
  <c r="Y136" i="1"/>
  <c r="Z132" i="1"/>
  <c r="Y132" i="1"/>
  <c r="Z127" i="1"/>
  <c r="Y127" i="1"/>
  <c r="Z123" i="1"/>
  <c r="Y123" i="1"/>
  <c r="Z119" i="1"/>
  <c r="Y119" i="1"/>
  <c r="Z111" i="1"/>
  <c r="Y111" i="1"/>
  <c r="Z103" i="1"/>
  <c r="Y103" i="1"/>
  <c r="Z95" i="1"/>
  <c r="Y95" i="1"/>
  <c r="Z87" i="1"/>
  <c r="Y87" i="1"/>
  <c r="Z44" i="1"/>
  <c r="Y44" i="1"/>
  <c r="Z133" i="1"/>
  <c r="Y133" i="1"/>
  <c r="Z124" i="1"/>
  <c r="Y124" i="1"/>
  <c r="Z120" i="1"/>
  <c r="Y120" i="1"/>
  <c r="Z42" i="1"/>
  <c r="Y42" i="1"/>
  <c r="Z109" i="1"/>
  <c r="Y109" i="1"/>
  <c r="Z105" i="1"/>
  <c r="Y105" i="1"/>
  <c r="Z101" i="1"/>
  <c r="Y101" i="1"/>
  <c r="Z97" i="1"/>
  <c r="Y97" i="1"/>
  <c r="Z93" i="1"/>
  <c r="Y93" i="1"/>
  <c r="Z89" i="1"/>
  <c r="Y89" i="1"/>
  <c r="Z85" i="1"/>
  <c r="Y85" i="1"/>
  <c r="Z140" i="1"/>
  <c r="Y140" i="1"/>
  <c r="Z135" i="1"/>
  <c r="Y135" i="1"/>
  <c r="Z131" i="1"/>
  <c r="Y131" i="1"/>
  <c r="Z126" i="1"/>
  <c r="Y126" i="1"/>
  <c r="Z122" i="1"/>
  <c r="Y122" i="1"/>
  <c r="Z118" i="1"/>
  <c r="Y118" i="1"/>
  <c r="Y37" i="1"/>
  <c r="AC37" i="1"/>
  <c r="Z37" i="1"/>
  <c r="AD37" i="1"/>
  <c r="AA37" i="1"/>
  <c r="AB37" i="1"/>
  <c r="Z112" i="1"/>
  <c r="Y112" i="1"/>
  <c r="Z108" i="1"/>
  <c r="Y108" i="1"/>
  <c r="Z104" i="1"/>
  <c r="Y104" i="1"/>
  <c r="Z100" i="1"/>
  <c r="Y100" i="1"/>
  <c r="Z96" i="1"/>
  <c r="Y96" i="1"/>
  <c r="Z92" i="1"/>
  <c r="Y92" i="1"/>
  <c r="Z88" i="1"/>
  <c r="Y88" i="1"/>
  <c r="Z84" i="1"/>
  <c r="Y84" i="1"/>
  <c r="Z139" i="1"/>
  <c r="Y139" i="1"/>
  <c r="Z134" i="1"/>
  <c r="Y134" i="1"/>
  <c r="Z130" i="1"/>
  <c r="Y130" i="1"/>
  <c r="Z125" i="1"/>
  <c r="Y125" i="1"/>
  <c r="Z121" i="1"/>
  <c r="Y121" i="1"/>
  <c r="Z117" i="1"/>
  <c r="Y117" i="1"/>
  <c r="Z68" i="1"/>
  <c r="Y68" i="1"/>
  <c r="Z64" i="1"/>
  <c r="Y64" i="1"/>
  <c r="Z60" i="1"/>
  <c r="Y60" i="1"/>
  <c r="Z56" i="1"/>
  <c r="Y56" i="1"/>
  <c r="Z52" i="1"/>
  <c r="Y52" i="1"/>
  <c r="Z48" i="1"/>
  <c r="Y48" i="1"/>
  <c r="Z67" i="1"/>
  <c r="Y67" i="1"/>
  <c r="Z63" i="1"/>
  <c r="Y63" i="1"/>
  <c r="Z59" i="1"/>
  <c r="Y59" i="1"/>
  <c r="Z55" i="1"/>
  <c r="Y55" i="1"/>
  <c r="Z51" i="1"/>
  <c r="Y51" i="1"/>
  <c r="Z47" i="1"/>
  <c r="Y47" i="1"/>
  <c r="Z70" i="1"/>
  <c r="Y70" i="1"/>
  <c r="Z66" i="1"/>
  <c r="Y66" i="1"/>
  <c r="Z62" i="1"/>
  <c r="Y62" i="1"/>
  <c r="Z58" i="1"/>
  <c r="Y58" i="1"/>
  <c r="Z54" i="1"/>
  <c r="Y54" i="1"/>
  <c r="Z50" i="1"/>
  <c r="Y50" i="1"/>
  <c r="Z46" i="1"/>
  <c r="Y46" i="1"/>
  <c r="Z69" i="1"/>
  <c r="Y69" i="1"/>
  <c r="Z65" i="1"/>
  <c r="Y65" i="1"/>
  <c r="Z61" i="1"/>
  <c r="Y61" i="1"/>
  <c r="Z57" i="1"/>
  <c r="Y57" i="1"/>
  <c r="Z53" i="1"/>
  <c r="Y53" i="1"/>
  <c r="Z49" i="1"/>
  <c r="Y49" i="1"/>
  <c r="Z45" i="1"/>
  <c r="Y45" i="1"/>
  <c r="T44" i="1"/>
  <c r="S44" i="1"/>
  <c r="T42" i="1"/>
  <c r="S42" i="1"/>
  <c r="T112" i="1"/>
  <c r="S112" i="1"/>
  <c r="T108" i="1"/>
  <c r="S108" i="1"/>
  <c r="T104" i="1"/>
  <c r="S104" i="1"/>
  <c r="T100" i="1"/>
  <c r="S100" i="1"/>
  <c r="T96" i="1"/>
  <c r="S96" i="1"/>
  <c r="T92" i="1"/>
  <c r="S92" i="1"/>
  <c r="T88" i="1"/>
  <c r="S88" i="1"/>
  <c r="T84" i="1"/>
  <c r="S84" i="1"/>
  <c r="T80" i="1"/>
  <c r="S80" i="1"/>
  <c r="T76" i="1"/>
  <c r="S76" i="1"/>
  <c r="T72" i="1"/>
  <c r="S72" i="1"/>
  <c r="T68" i="1"/>
  <c r="S68" i="1"/>
  <c r="T64" i="1"/>
  <c r="S64" i="1"/>
  <c r="T60" i="1"/>
  <c r="S60" i="1"/>
  <c r="T56" i="1"/>
  <c r="S56" i="1"/>
  <c r="S52" i="1"/>
  <c r="T52" i="1"/>
  <c r="S48" i="1"/>
  <c r="T48" i="1"/>
  <c r="S116" i="1"/>
  <c r="T116" i="1"/>
  <c r="T127" i="1"/>
  <c r="S127" i="1"/>
  <c r="T119" i="1"/>
  <c r="S119" i="1"/>
  <c r="S120" i="1"/>
  <c r="T120" i="1"/>
  <c r="S107" i="1"/>
  <c r="T107" i="1"/>
  <c r="S103" i="1"/>
  <c r="T103" i="1"/>
  <c r="S99" i="1"/>
  <c r="T99" i="1"/>
  <c r="S95" i="1"/>
  <c r="T95" i="1"/>
  <c r="S91" i="1"/>
  <c r="T91" i="1"/>
  <c r="S87" i="1"/>
  <c r="T87" i="1"/>
  <c r="S83" i="1"/>
  <c r="T83" i="1"/>
  <c r="S79" i="1"/>
  <c r="T79" i="1"/>
  <c r="S75" i="1"/>
  <c r="T75" i="1"/>
  <c r="S71" i="1"/>
  <c r="T71" i="1"/>
  <c r="S67" i="1"/>
  <c r="T67" i="1"/>
  <c r="S63" i="1"/>
  <c r="T63" i="1"/>
  <c r="S59" i="1"/>
  <c r="T59" i="1"/>
  <c r="S55" i="1"/>
  <c r="T55" i="1"/>
  <c r="S51" i="1"/>
  <c r="T51" i="1"/>
  <c r="S47" i="1"/>
  <c r="T47" i="1"/>
  <c r="S131" i="1"/>
  <c r="T131" i="1"/>
  <c r="S126" i="1"/>
  <c r="T126" i="1"/>
  <c r="S118" i="1"/>
  <c r="T118" i="1"/>
  <c r="S111" i="1"/>
  <c r="T111" i="1"/>
  <c r="T110" i="1"/>
  <c r="S110" i="1"/>
  <c r="T102" i="1"/>
  <c r="S102" i="1"/>
  <c r="T98" i="1"/>
  <c r="S98" i="1"/>
  <c r="T94" i="1"/>
  <c r="S94" i="1"/>
  <c r="T90" i="1"/>
  <c r="S90" i="1"/>
  <c r="T86" i="1"/>
  <c r="S86" i="1"/>
  <c r="T82" i="1"/>
  <c r="S82" i="1"/>
  <c r="T78" i="1"/>
  <c r="S78" i="1"/>
  <c r="T74" i="1"/>
  <c r="S74" i="1"/>
  <c r="T70" i="1"/>
  <c r="S70" i="1"/>
  <c r="T66" i="1"/>
  <c r="S66" i="1"/>
  <c r="T62" i="1"/>
  <c r="S62" i="1"/>
  <c r="T58" i="1"/>
  <c r="S58" i="1"/>
  <c r="S54" i="1"/>
  <c r="T54" i="1"/>
  <c r="S50" i="1"/>
  <c r="T50" i="1"/>
  <c r="S46" i="1"/>
  <c r="T46" i="1"/>
  <c r="T130" i="1"/>
  <c r="S130" i="1"/>
  <c r="T125" i="1"/>
  <c r="S125" i="1"/>
  <c r="T117" i="1"/>
  <c r="S117" i="1"/>
  <c r="T121" i="1"/>
  <c r="S121" i="1"/>
  <c r="T106" i="1"/>
  <c r="S106" i="1"/>
  <c r="S109" i="1"/>
  <c r="T109" i="1"/>
  <c r="S105" i="1"/>
  <c r="T105" i="1"/>
  <c r="S101" i="1"/>
  <c r="T101" i="1"/>
  <c r="S97" i="1"/>
  <c r="T97" i="1"/>
  <c r="S93" i="1"/>
  <c r="T93" i="1"/>
  <c r="S89" i="1"/>
  <c r="T89" i="1"/>
  <c r="S85" i="1"/>
  <c r="T85" i="1"/>
  <c r="S81" i="1"/>
  <c r="T81" i="1"/>
  <c r="S77" i="1"/>
  <c r="T77" i="1"/>
  <c r="S73" i="1"/>
  <c r="T73" i="1"/>
  <c r="S69" i="1"/>
  <c r="T69" i="1"/>
  <c r="S65" i="1"/>
  <c r="T65" i="1"/>
  <c r="S61" i="1"/>
  <c r="T61" i="1"/>
  <c r="S57" i="1"/>
  <c r="T57" i="1"/>
  <c r="S53" i="1"/>
  <c r="T53" i="1"/>
  <c r="S49" i="1"/>
  <c r="T49" i="1"/>
  <c r="S124" i="1"/>
  <c r="T124" i="1"/>
  <c r="Q133" i="1"/>
  <c r="Q132" i="1"/>
  <c r="Q123" i="1"/>
  <c r="Q122" i="1"/>
  <c r="S122" i="1" l="1"/>
  <c r="T122" i="1"/>
  <c r="T123" i="1"/>
  <c r="S123" i="1"/>
  <c r="T132" i="1"/>
  <c r="S132" i="1"/>
  <c r="S133" i="1"/>
  <c r="T133" i="1"/>
  <c r="Q134" i="1"/>
  <c r="Y73" i="1"/>
  <c r="Y74" i="1"/>
  <c r="Y75" i="1"/>
  <c r="Y76" i="1"/>
  <c r="Y77" i="1"/>
  <c r="Y78" i="1"/>
  <c r="Y72" i="1"/>
  <c r="V12" i="1"/>
  <c r="V13" i="1"/>
  <c r="V14" i="1"/>
  <c r="V15" i="1"/>
  <c r="V16" i="1"/>
  <c r="V18" i="1"/>
  <c r="V21" i="1"/>
  <c r="V22" i="1"/>
  <c r="V23" i="1"/>
  <c r="V27" i="1"/>
  <c r="V28" i="1"/>
  <c r="V29" i="1"/>
  <c r="V30" i="1"/>
  <c r="V33" i="1"/>
  <c r="V34" i="1"/>
  <c r="V35" i="1"/>
  <c r="V36" i="1"/>
  <c r="V37" i="1"/>
  <c r="V11" i="1"/>
  <c r="R12" i="1"/>
  <c r="R13" i="1"/>
  <c r="R14" i="1"/>
  <c r="R15" i="1"/>
  <c r="R21" i="1" s="1"/>
  <c r="R22" i="1" s="1"/>
  <c r="R23" i="1" s="1"/>
  <c r="R16" i="1"/>
  <c r="R18" i="1"/>
  <c r="R27" i="1"/>
  <c r="R28" i="1"/>
  <c r="R29" i="1"/>
  <c r="R30" i="1"/>
  <c r="R33" i="1"/>
  <c r="R34" i="1"/>
  <c r="R35" i="1"/>
  <c r="R36" i="1"/>
  <c r="R37" i="1"/>
  <c r="R11" i="1"/>
  <c r="H72" i="1"/>
  <c r="H73" i="1"/>
  <c r="H74" i="1"/>
  <c r="H75" i="1"/>
  <c r="H76" i="1"/>
  <c r="H77" i="1"/>
  <c r="H78" i="1"/>
  <c r="W72" i="1" l="1"/>
  <c r="Z72" i="1"/>
  <c r="W75" i="1"/>
  <c r="Z75" i="1"/>
  <c r="W78" i="1"/>
  <c r="Z78" i="1"/>
  <c r="W74" i="1"/>
  <c r="Z74" i="1"/>
  <c r="W77" i="1"/>
  <c r="Z77" i="1"/>
  <c r="W73" i="1"/>
  <c r="Z73" i="1"/>
  <c r="W76" i="1"/>
  <c r="Z76" i="1"/>
  <c r="T134" i="1"/>
  <c r="S134" i="1"/>
  <c r="Q135" i="1"/>
  <c r="S135" i="1" l="1"/>
  <c r="T135" i="1"/>
  <c r="Q136" i="1"/>
  <c r="J26" i="1"/>
  <c r="M26" i="1"/>
  <c r="N26" i="1"/>
  <c r="O26" i="1"/>
  <c r="P26" i="1"/>
  <c r="AI26" i="1"/>
  <c r="J14" i="1"/>
  <c r="M14" i="1"/>
  <c r="N14" i="1"/>
  <c r="O14" i="1"/>
  <c r="P14" i="1"/>
  <c r="AG14" i="1"/>
  <c r="AH14" i="1"/>
  <c r="AI14" i="1"/>
  <c r="X14" i="1"/>
  <c r="Y14" i="1" s="1"/>
  <c r="D14" i="1"/>
  <c r="AB14" i="1" l="1"/>
  <c r="Z14" i="1"/>
  <c r="T136" i="1"/>
  <c r="S136" i="1"/>
  <c r="Q137" i="1"/>
  <c r="AD14" i="1"/>
  <c r="AC14" i="1"/>
  <c r="J117" i="1"/>
  <c r="M117" i="1"/>
  <c r="N117" i="1"/>
  <c r="O117" i="1"/>
  <c r="P117" i="1"/>
  <c r="J118" i="1"/>
  <c r="M118" i="1"/>
  <c r="N118" i="1"/>
  <c r="O118" i="1"/>
  <c r="P118" i="1"/>
  <c r="J119" i="1"/>
  <c r="M119" i="1"/>
  <c r="N119" i="1"/>
  <c r="O119" i="1"/>
  <c r="P119" i="1"/>
  <c r="J120" i="1"/>
  <c r="M120" i="1"/>
  <c r="N120" i="1"/>
  <c r="O120" i="1"/>
  <c r="P120" i="1"/>
  <c r="J121" i="1"/>
  <c r="M121" i="1"/>
  <c r="N121" i="1"/>
  <c r="O121" i="1"/>
  <c r="P121" i="1"/>
  <c r="J122" i="1"/>
  <c r="M122" i="1"/>
  <c r="N122" i="1"/>
  <c r="O122" i="1"/>
  <c r="P122" i="1"/>
  <c r="J123" i="1"/>
  <c r="M123" i="1"/>
  <c r="N123" i="1"/>
  <c r="O123" i="1"/>
  <c r="P123" i="1"/>
  <c r="J124" i="1"/>
  <c r="M124" i="1"/>
  <c r="N124" i="1"/>
  <c r="O124" i="1"/>
  <c r="P124" i="1"/>
  <c r="J125" i="1"/>
  <c r="M125" i="1"/>
  <c r="N125" i="1"/>
  <c r="O125" i="1"/>
  <c r="P125" i="1"/>
  <c r="J126" i="1"/>
  <c r="M126" i="1"/>
  <c r="N126" i="1"/>
  <c r="O126" i="1"/>
  <c r="P126" i="1"/>
  <c r="J127" i="1"/>
  <c r="M127" i="1"/>
  <c r="N127" i="1"/>
  <c r="O127" i="1"/>
  <c r="P127" i="1"/>
  <c r="J130" i="1"/>
  <c r="M130" i="1"/>
  <c r="N130" i="1"/>
  <c r="O130" i="1"/>
  <c r="P130" i="1"/>
  <c r="J131" i="1"/>
  <c r="M131" i="1"/>
  <c r="N131" i="1"/>
  <c r="O131" i="1"/>
  <c r="P131" i="1"/>
  <c r="J133" i="1"/>
  <c r="M133" i="1"/>
  <c r="N133" i="1"/>
  <c r="O133" i="1"/>
  <c r="P133" i="1"/>
  <c r="J134" i="1"/>
  <c r="M134" i="1"/>
  <c r="N134" i="1"/>
  <c r="O134" i="1"/>
  <c r="P134" i="1"/>
  <c r="J135" i="1"/>
  <c r="M135" i="1"/>
  <c r="N135" i="1"/>
  <c r="O135" i="1"/>
  <c r="P135" i="1"/>
  <c r="J136" i="1"/>
  <c r="M136" i="1"/>
  <c r="N136" i="1"/>
  <c r="O136" i="1"/>
  <c r="P136" i="1"/>
  <c r="J137" i="1"/>
  <c r="M137" i="1"/>
  <c r="N137" i="1"/>
  <c r="O137" i="1"/>
  <c r="P137" i="1"/>
  <c r="J139" i="1"/>
  <c r="M139" i="1"/>
  <c r="N139" i="1"/>
  <c r="O139" i="1"/>
  <c r="P139" i="1"/>
  <c r="J140" i="1"/>
  <c r="M140" i="1"/>
  <c r="N140" i="1"/>
  <c r="O140" i="1"/>
  <c r="P140" i="1"/>
  <c r="P116" i="1"/>
  <c r="O116" i="1"/>
  <c r="N116" i="1"/>
  <c r="M116" i="1"/>
  <c r="J116" i="1"/>
  <c r="M45" i="1"/>
  <c r="N45" i="1"/>
  <c r="O45" i="1"/>
  <c r="P45" i="1"/>
  <c r="M46" i="1"/>
  <c r="N46" i="1"/>
  <c r="O46" i="1"/>
  <c r="P46" i="1"/>
  <c r="M47" i="1"/>
  <c r="N47" i="1"/>
  <c r="O47" i="1"/>
  <c r="P47" i="1"/>
  <c r="M48" i="1"/>
  <c r="N48" i="1"/>
  <c r="O48" i="1"/>
  <c r="P48" i="1"/>
  <c r="M49" i="1"/>
  <c r="N49" i="1"/>
  <c r="O49" i="1"/>
  <c r="P49" i="1"/>
  <c r="M50" i="1"/>
  <c r="N50" i="1"/>
  <c r="O50" i="1"/>
  <c r="P50" i="1"/>
  <c r="M51" i="1"/>
  <c r="N51" i="1"/>
  <c r="O51" i="1"/>
  <c r="P51" i="1"/>
  <c r="M52" i="1"/>
  <c r="N52" i="1"/>
  <c r="O52" i="1"/>
  <c r="P52" i="1"/>
  <c r="M53" i="1"/>
  <c r="N53" i="1"/>
  <c r="O53" i="1"/>
  <c r="P53" i="1"/>
  <c r="M54" i="1"/>
  <c r="N54" i="1"/>
  <c r="O54" i="1"/>
  <c r="P54" i="1"/>
  <c r="M55" i="1"/>
  <c r="N55" i="1"/>
  <c r="O55" i="1"/>
  <c r="P55" i="1"/>
  <c r="M56" i="1"/>
  <c r="N56" i="1"/>
  <c r="O56" i="1"/>
  <c r="P56" i="1"/>
  <c r="M57" i="1"/>
  <c r="N57" i="1"/>
  <c r="O57" i="1"/>
  <c r="P57" i="1"/>
  <c r="M58" i="1"/>
  <c r="N58" i="1"/>
  <c r="O58" i="1"/>
  <c r="P58" i="1"/>
  <c r="M59" i="1"/>
  <c r="N59" i="1"/>
  <c r="O59" i="1"/>
  <c r="P59" i="1"/>
  <c r="M60" i="1"/>
  <c r="N60" i="1"/>
  <c r="O60" i="1"/>
  <c r="P60" i="1"/>
  <c r="M61" i="1"/>
  <c r="N61" i="1"/>
  <c r="O61" i="1"/>
  <c r="P61" i="1"/>
  <c r="M62" i="1"/>
  <c r="N62" i="1"/>
  <c r="O62" i="1"/>
  <c r="P62" i="1"/>
  <c r="M63" i="1"/>
  <c r="N63" i="1"/>
  <c r="O63" i="1"/>
  <c r="P63" i="1"/>
  <c r="M64" i="1"/>
  <c r="N64" i="1"/>
  <c r="O64" i="1"/>
  <c r="P64" i="1"/>
  <c r="M65" i="1"/>
  <c r="N65" i="1"/>
  <c r="O65" i="1"/>
  <c r="P65" i="1"/>
  <c r="M66" i="1"/>
  <c r="N66" i="1"/>
  <c r="O66" i="1"/>
  <c r="P66" i="1"/>
  <c r="M67" i="1"/>
  <c r="N67" i="1"/>
  <c r="O67" i="1"/>
  <c r="P67" i="1"/>
  <c r="M68" i="1"/>
  <c r="N68" i="1"/>
  <c r="O68" i="1"/>
  <c r="P68" i="1"/>
  <c r="M69" i="1"/>
  <c r="N69" i="1"/>
  <c r="O69" i="1"/>
  <c r="P69" i="1"/>
  <c r="M70" i="1"/>
  <c r="N70" i="1"/>
  <c r="O70" i="1"/>
  <c r="P70" i="1"/>
  <c r="M71" i="1"/>
  <c r="N71" i="1"/>
  <c r="O71" i="1"/>
  <c r="P71" i="1"/>
  <c r="M79" i="1"/>
  <c r="N79" i="1"/>
  <c r="O79" i="1"/>
  <c r="P79" i="1"/>
  <c r="M80" i="1"/>
  <c r="N80" i="1"/>
  <c r="O80" i="1"/>
  <c r="P80" i="1"/>
  <c r="M81" i="1"/>
  <c r="N81" i="1"/>
  <c r="O81" i="1"/>
  <c r="P81" i="1"/>
  <c r="M82" i="1"/>
  <c r="N82" i="1"/>
  <c r="O82" i="1"/>
  <c r="P82" i="1"/>
  <c r="M83" i="1"/>
  <c r="N83" i="1"/>
  <c r="O83" i="1"/>
  <c r="P83" i="1"/>
  <c r="M84" i="1"/>
  <c r="N84" i="1"/>
  <c r="O84" i="1"/>
  <c r="P84" i="1"/>
  <c r="M85" i="1"/>
  <c r="N85" i="1"/>
  <c r="O85" i="1"/>
  <c r="P85" i="1"/>
  <c r="M86" i="1"/>
  <c r="N86" i="1"/>
  <c r="O86" i="1"/>
  <c r="P86" i="1"/>
  <c r="M87" i="1"/>
  <c r="N87" i="1"/>
  <c r="O87" i="1"/>
  <c r="P87" i="1"/>
  <c r="M88" i="1"/>
  <c r="N88" i="1"/>
  <c r="O88" i="1"/>
  <c r="P88" i="1"/>
  <c r="M89" i="1"/>
  <c r="N89" i="1"/>
  <c r="O89" i="1"/>
  <c r="P89" i="1"/>
  <c r="M90" i="1"/>
  <c r="N90" i="1"/>
  <c r="O90" i="1"/>
  <c r="P90" i="1"/>
  <c r="M91" i="1"/>
  <c r="N91" i="1"/>
  <c r="O91" i="1"/>
  <c r="P91" i="1"/>
  <c r="M92" i="1"/>
  <c r="N92" i="1"/>
  <c r="O92" i="1"/>
  <c r="P92" i="1"/>
  <c r="M93" i="1"/>
  <c r="N93" i="1"/>
  <c r="O93" i="1"/>
  <c r="P93" i="1"/>
  <c r="M94" i="1"/>
  <c r="N94" i="1"/>
  <c r="O94" i="1"/>
  <c r="P94" i="1"/>
  <c r="M95" i="1"/>
  <c r="N95" i="1"/>
  <c r="O95" i="1"/>
  <c r="P95" i="1"/>
  <c r="M96" i="1"/>
  <c r="N96" i="1"/>
  <c r="O96" i="1"/>
  <c r="P96" i="1"/>
  <c r="M97" i="1"/>
  <c r="N97" i="1"/>
  <c r="O97" i="1"/>
  <c r="P97" i="1"/>
  <c r="M98" i="1"/>
  <c r="N98" i="1"/>
  <c r="O98" i="1"/>
  <c r="P98" i="1"/>
  <c r="M99" i="1"/>
  <c r="N99" i="1"/>
  <c r="O99" i="1"/>
  <c r="P99" i="1"/>
  <c r="M100" i="1"/>
  <c r="N100" i="1"/>
  <c r="O100" i="1"/>
  <c r="P100" i="1"/>
  <c r="M101" i="1"/>
  <c r="N101" i="1"/>
  <c r="O101" i="1"/>
  <c r="P101" i="1"/>
  <c r="M102" i="1"/>
  <c r="N102" i="1"/>
  <c r="O102" i="1"/>
  <c r="P102" i="1"/>
  <c r="M103" i="1"/>
  <c r="N103" i="1"/>
  <c r="O103" i="1"/>
  <c r="P103" i="1"/>
  <c r="M104" i="1"/>
  <c r="N104" i="1"/>
  <c r="O104" i="1"/>
  <c r="P104" i="1"/>
  <c r="M105" i="1"/>
  <c r="N105" i="1"/>
  <c r="O105" i="1"/>
  <c r="P105" i="1"/>
  <c r="M106" i="1"/>
  <c r="N106" i="1"/>
  <c r="O106" i="1"/>
  <c r="P106" i="1"/>
  <c r="M107" i="1"/>
  <c r="N107" i="1"/>
  <c r="O107" i="1"/>
  <c r="P107" i="1"/>
  <c r="M108" i="1"/>
  <c r="N108" i="1"/>
  <c r="O108" i="1"/>
  <c r="P108" i="1"/>
  <c r="M109" i="1"/>
  <c r="N109" i="1"/>
  <c r="O109" i="1"/>
  <c r="P109" i="1"/>
  <c r="M110" i="1"/>
  <c r="N110" i="1"/>
  <c r="O110" i="1"/>
  <c r="P110" i="1"/>
  <c r="M111" i="1"/>
  <c r="N111" i="1"/>
  <c r="O111" i="1"/>
  <c r="P111" i="1"/>
  <c r="M112" i="1"/>
  <c r="N112" i="1"/>
  <c r="O112" i="1"/>
  <c r="P112" i="1"/>
  <c r="J24" i="1"/>
  <c r="J25" i="1"/>
  <c r="M24" i="1"/>
  <c r="N24" i="1"/>
  <c r="O24" i="1"/>
  <c r="P24" i="1"/>
  <c r="M25" i="1"/>
  <c r="N25" i="1"/>
  <c r="O25" i="1"/>
  <c r="P25" i="1"/>
  <c r="S137" i="1" l="1"/>
  <c r="T137" i="1"/>
  <c r="Q140" i="1"/>
  <c r="Q139" i="1"/>
  <c r="H117" i="1"/>
  <c r="H118" i="1"/>
  <c r="H119" i="1"/>
  <c r="H120" i="1"/>
  <c r="H121" i="1"/>
  <c r="H122" i="1"/>
  <c r="H123" i="1"/>
  <c r="H124" i="1"/>
  <c r="H125" i="1"/>
  <c r="H126" i="1"/>
  <c r="H127" i="1"/>
  <c r="H130" i="1"/>
  <c r="H131" i="1"/>
  <c r="H132" i="1"/>
  <c r="H133" i="1"/>
  <c r="H134" i="1"/>
  <c r="H135" i="1"/>
  <c r="H136" i="1"/>
  <c r="H137" i="1"/>
  <c r="H139" i="1"/>
  <c r="H140" i="1"/>
  <c r="H116"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79" i="1"/>
  <c r="H45" i="1"/>
  <c r="H46" i="1"/>
  <c r="H47" i="1"/>
  <c r="H48" i="1"/>
  <c r="H49" i="1"/>
  <c r="H50" i="1"/>
  <c r="H51" i="1"/>
  <c r="H52" i="1"/>
  <c r="H53" i="1"/>
  <c r="H54" i="1"/>
  <c r="H55" i="1"/>
  <c r="H56" i="1"/>
  <c r="H57" i="1"/>
  <c r="H58" i="1"/>
  <c r="H59" i="1"/>
  <c r="H60" i="1"/>
  <c r="H61" i="1"/>
  <c r="H62" i="1"/>
  <c r="H63" i="1"/>
  <c r="H64" i="1"/>
  <c r="H65" i="1"/>
  <c r="H66" i="1"/>
  <c r="H67" i="1"/>
  <c r="H68" i="1"/>
  <c r="H69" i="1"/>
  <c r="H70" i="1"/>
  <c r="H71" i="1"/>
  <c r="AH42" i="1"/>
  <c r="AH44" i="1"/>
  <c r="I12" i="1"/>
  <c r="I13" i="1"/>
  <c r="I15" i="1"/>
  <c r="I16" i="1"/>
  <c r="I18" i="1"/>
  <c r="I21" i="1"/>
  <c r="I22" i="1"/>
  <c r="I23" i="1"/>
  <c r="I27" i="1"/>
  <c r="I28" i="1"/>
  <c r="I29" i="1"/>
  <c r="I30" i="1"/>
  <c r="I33" i="1"/>
  <c r="I34" i="1"/>
  <c r="I35" i="1"/>
  <c r="I36" i="1"/>
  <c r="I37" i="1"/>
  <c r="I11" i="1"/>
  <c r="L36" i="1" l="1"/>
  <c r="K36" i="1"/>
  <c r="K30" i="1"/>
  <c r="L30" i="1"/>
  <c r="K37" i="1"/>
  <c r="L37" i="1"/>
  <c r="L34" i="1"/>
  <c r="K34" i="1"/>
  <c r="K33" i="1"/>
  <c r="L33" i="1"/>
  <c r="K35" i="1"/>
  <c r="L35" i="1"/>
  <c r="L27" i="1"/>
  <c r="K27" i="1"/>
  <c r="K28" i="1"/>
  <c r="L28" i="1"/>
  <c r="L29" i="1"/>
  <c r="K29" i="1"/>
  <c r="K18" i="1"/>
  <c r="L18" i="1"/>
  <c r="K23" i="1"/>
  <c r="L23" i="1"/>
  <c r="K16" i="1"/>
  <c r="L16" i="1"/>
  <c r="K21" i="1"/>
  <c r="L21" i="1"/>
  <c r="K22" i="1"/>
  <c r="L22" i="1"/>
  <c r="K15" i="1"/>
  <c r="L15" i="1"/>
  <c r="K11" i="1"/>
  <c r="L11" i="1"/>
  <c r="K13" i="1"/>
  <c r="L13" i="1"/>
  <c r="K12" i="1"/>
  <c r="L12" i="1"/>
  <c r="T139" i="1"/>
  <c r="S139" i="1"/>
  <c r="S140" i="1"/>
  <c r="T140" i="1"/>
  <c r="O36" i="1"/>
  <c r="J36" i="1"/>
  <c r="P36" i="1"/>
  <c r="M36" i="1"/>
  <c r="N36" i="1"/>
  <c r="O30" i="1"/>
  <c r="J30" i="1"/>
  <c r="P30" i="1"/>
  <c r="M30" i="1"/>
  <c r="N30" i="1"/>
  <c r="O23" i="1"/>
  <c r="P23" i="1"/>
  <c r="M23" i="1"/>
  <c r="J23" i="1"/>
  <c r="N23" i="1"/>
  <c r="O16" i="1"/>
  <c r="P16" i="1"/>
  <c r="M16" i="1"/>
  <c r="J16" i="1"/>
  <c r="N16" i="1"/>
  <c r="N76" i="1"/>
  <c r="O76" i="1"/>
  <c r="P76" i="1"/>
  <c r="M76" i="1"/>
  <c r="J35" i="1"/>
  <c r="O35" i="1"/>
  <c r="P35" i="1"/>
  <c r="M35" i="1"/>
  <c r="N35" i="1"/>
  <c r="J29" i="1"/>
  <c r="O29" i="1"/>
  <c r="P29" i="1"/>
  <c r="M29" i="1"/>
  <c r="N29" i="1"/>
  <c r="O22" i="1"/>
  <c r="P22" i="1"/>
  <c r="J22" i="1"/>
  <c r="M22" i="1"/>
  <c r="N22" i="1"/>
  <c r="O15" i="1"/>
  <c r="P15" i="1"/>
  <c r="J15" i="1"/>
  <c r="M15" i="1"/>
  <c r="N15" i="1"/>
  <c r="O75" i="1"/>
  <c r="P75" i="1"/>
  <c r="M75" i="1"/>
  <c r="N75" i="1"/>
  <c r="O34" i="1"/>
  <c r="P34" i="1"/>
  <c r="M34" i="1"/>
  <c r="J34" i="1"/>
  <c r="N34" i="1"/>
  <c r="O21" i="1"/>
  <c r="J21" i="1"/>
  <c r="P21" i="1"/>
  <c r="M21" i="1"/>
  <c r="N21" i="1"/>
  <c r="O13" i="1"/>
  <c r="J13" i="1"/>
  <c r="P13" i="1"/>
  <c r="M13" i="1"/>
  <c r="N13" i="1"/>
  <c r="P78" i="1"/>
  <c r="M78" i="1"/>
  <c r="N78" i="1"/>
  <c r="O78" i="1"/>
  <c r="P74" i="1"/>
  <c r="M74" i="1"/>
  <c r="N74" i="1"/>
  <c r="O74" i="1"/>
  <c r="P11" i="1"/>
  <c r="M11" i="1"/>
  <c r="J11" i="1"/>
  <c r="O11" i="1"/>
  <c r="N11" i="1"/>
  <c r="O28" i="1"/>
  <c r="P28" i="1"/>
  <c r="M28" i="1"/>
  <c r="J28" i="1"/>
  <c r="N28" i="1"/>
  <c r="O37" i="1"/>
  <c r="M37" i="1"/>
  <c r="P37" i="1"/>
  <c r="J37" i="1"/>
  <c r="N37" i="1"/>
  <c r="O33" i="1"/>
  <c r="P33" i="1"/>
  <c r="J33" i="1"/>
  <c r="M33" i="1"/>
  <c r="N33" i="1"/>
  <c r="O27" i="1"/>
  <c r="P27" i="1"/>
  <c r="J27" i="1"/>
  <c r="M27" i="1"/>
  <c r="N27" i="1"/>
  <c r="J18" i="1"/>
  <c r="O18" i="1"/>
  <c r="P18" i="1"/>
  <c r="M18" i="1"/>
  <c r="N18" i="1"/>
  <c r="P12" i="1"/>
  <c r="J12" i="1"/>
  <c r="N12" i="1"/>
  <c r="O12" i="1"/>
  <c r="M12" i="1"/>
  <c r="M77" i="1"/>
  <c r="N77" i="1"/>
  <c r="O77" i="1"/>
  <c r="P77" i="1"/>
  <c r="M73" i="1"/>
  <c r="N73" i="1"/>
  <c r="O73" i="1"/>
  <c r="P73" i="1"/>
  <c r="AK12" i="1"/>
  <c r="AM12" i="1"/>
  <c r="AK13" i="1"/>
  <c r="AM13" i="1"/>
  <c r="AK15" i="1"/>
  <c r="AM15" i="1"/>
  <c r="AK16" i="1"/>
  <c r="AM16" i="1"/>
  <c r="AK18" i="1"/>
  <c r="AM18" i="1"/>
  <c r="AK21" i="1"/>
  <c r="AM21" i="1"/>
  <c r="AK22" i="1"/>
  <c r="AM22" i="1"/>
  <c r="AK23" i="1"/>
  <c r="AM23" i="1"/>
  <c r="AK27" i="1"/>
  <c r="AM27" i="1"/>
  <c r="AK28" i="1"/>
  <c r="AM28" i="1"/>
  <c r="AK29" i="1"/>
  <c r="AM29" i="1"/>
  <c r="AK30" i="1"/>
  <c r="AM30" i="1"/>
  <c r="AK33" i="1"/>
  <c r="AM33" i="1"/>
  <c r="AK34" i="1"/>
  <c r="AM34" i="1"/>
  <c r="AK35" i="1"/>
  <c r="AM35" i="1"/>
  <c r="AK36" i="1"/>
  <c r="AM36" i="1"/>
  <c r="AK37" i="1"/>
  <c r="AM37" i="1"/>
  <c r="AM11" i="1"/>
  <c r="AK11" i="1"/>
  <c r="AL107" i="1"/>
  <c r="AL105" i="1"/>
  <c r="AL106" i="1"/>
  <c r="AL108" i="1"/>
  <c r="AL109" i="1"/>
  <c r="AL110" i="1"/>
  <c r="AL111" i="1"/>
  <c r="AL112" i="1"/>
  <c r="AL132" i="1"/>
  <c r="AL133" i="1"/>
  <c r="AL134" i="1"/>
  <c r="AL135" i="1"/>
  <c r="AL136" i="1"/>
  <c r="AL137" i="1"/>
  <c r="AL139" i="1"/>
  <c r="AL117" i="1"/>
  <c r="AL118" i="1"/>
  <c r="AL119" i="1"/>
  <c r="AL120" i="1"/>
  <c r="AL121" i="1"/>
  <c r="AL122" i="1"/>
  <c r="AL123" i="1"/>
  <c r="AL124" i="1"/>
  <c r="AL125" i="1"/>
  <c r="AL126" i="1"/>
  <c r="AL127" i="1"/>
  <c r="AL130" i="1"/>
  <c r="AL131" i="1"/>
  <c r="AL116" i="1"/>
  <c r="AL97" i="1"/>
  <c r="AL98" i="1"/>
  <c r="AL99" i="1"/>
  <c r="AL100" i="1"/>
  <c r="AL101" i="1"/>
  <c r="AL102" i="1"/>
  <c r="AL103" i="1"/>
  <c r="AL104" i="1"/>
  <c r="AL46" i="1"/>
  <c r="AL47" i="1"/>
  <c r="AL48" i="1"/>
  <c r="AL49" i="1"/>
  <c r="AL50" i="1"/>
  <c r="AL51" i="1"/>
  <c r="AL52" i="1"/>
  <c r="AL53" i="1"/>
  <c r="AL54" i="1"/>
  <c r="AL55" i="1"/>
  <c r="AL56" i="1"/>
  <c r="AL57" i="1"/>
  <c r="AL58" i="1"/>
  <c r="AL59" i="1"/>
  <c r="AL60" i="1"/>
  <c r="AL61" i="1"/>
  <c r="AL62" i="1"/>
  <c r="AL63" i="1"/>
  <c r="AL64" i="1"/>
  <c r="AL65" i="1"/>
  <c r="AL66" i="1"/>
  <c r="AL67" i="1"/>
  <c r="AL68" i="1"/>
  <c r="AL69" i="1"/>
  <c r="AL70" i="1"/>
  <c r="AL71" i="1"/>
  <c r="AL72" i="1"/>
  <c r="AL73" i="1"/>
  <c r="AL74" i="1"/>
  <c r="AL75" i="1"/>
  <c r="AL76" i="1"/>
  <c r="AL77" i="1"/>
  <c r="AL78" i="1"/>
  <c r="AL79" i="1"/>
  <c r="AL80" i="1"/>
  <c r="AL81" i="1"/>
  <c r="AL82" i="1"/>
  <c r="AL83" i="1"/>
  <c r="AL84" i="1"/>
  <c r="AL85" i="1"/>
  <c r="AL86" i="1"/>
  <c r="AL87" i="1"/>
  <c r="AL88" i="1"/>
  <c r="AL89" i="1"/>
  <c r="AL90" i="1"/>
  <c r="AL91" i="1"/>
  <c r="AL92" i="1"/>
  <c r="AL93" i="1"/>
  <c r="AL94" i="1"/>
  <c r="AL95" i="1"/>
  <c r="AL96" i="1"/>
  <c r="AL45" i="1"/>
  <c r="D49" i="1" l="1"/>
  <c r="D48" i="1"/>
  <c r="D47" i="1"/>
  <c r="D46" i="1"/>
  <c r="D11" i="1"/>
  <c r="D12" i="1"/>
  <c r="D13" i="1"/>
  <c r="D15" i="1"/>
  <c r="D16" i="1"/>
  <c r="D18" i="1"/>
  <c r="D21" i="1"/>
  <c r="D22" i="1"/>
  <c r="D23" i="1"/>
  <c r="D27" i="1"/>
  <c r="D28" i="1"/>
  <c r="D29" i="1"/>
  <c r="D30" i="1"/>
  <c r="D33" i="1"/>
  <c r="D34" i="1"/>
  <c r="D35" i="1"/>
  <c r="D36" i="1"/>
  <c r="D37" i="1"/>
  <c r="D133" i="1" l="1"/>
  <c r="D134" i="1"/>
  <c r="D135" i="1"/>
  <c r="D136" i="1"/>
  <c r="D137" i="1"/>
  <c r="D139" i="1"/>
  <c r="D140" i="1"/>
  <c r="AE79" i="1" l="1"/>
  <c r="AH79" i="1" s="1"/>
  <c r="AE117" i="1" l="1"/>
  <c r="AH117" i="1" s="1"/>
  <c r="AE118" i="1"/>
  <c r="AH118" i="1" s="1"/>
  <c r="AE119" i="1"/>
  <c r="AH119" i="1" s="1"/>
  <c r="AE120" i="1"/>
  <c r="AH120" i="1" s="1"/>
  <c r="AE121" i="1"/>
  <c r="AH121" i="1" s="1"/>
  <c r="AE122" i="1"/>
  <c r="AH122" i="1" s="1"/>
  <c r="AE123" i="1"/>
  <c r="AH123" i="1" s="1"/>
  <c r="AE124" i="1"/>
  <c r="AH124" i="1" s="1"/>
  <c r="AE125" i="1"/>
  <c r="AH125" i="1" s="1"/>
  <c r="AE126" i="1"/>
  <c r="AH126" i="1" s="1"/>
  <c r="AE127" i="1"/>
  <c r="AH127" i="1" s="1"/>
  <c r="AE130" i="1"/>
  <c r="AH130" i="1" s="1"/>
  <c r="AE131" i="1"/>
  <c r="AH131" i="1" s="1"/>
  <c r="AE132" i="1"/>
  <c r="AH132" i="1" s="1"/>
  <c r="AE133" i="1"/>
  <c r="AH133" i="1" s="1"/>
  <c r="AE134" i="1"/>
  <c r="AH134" i="1" s="1"/>
  <c r="AE135" i="1"/>
  <c r="AH135" i="1" s="1"/>
  <c r="AE136" i="1"/>
  <c r="AH136" i="1" s="1"/>
  <c r="AE137" i="1"/>
  <c r="AH137" i="1" s="1"/>
  <c r="AE139" i="1"/>
  <c r="AH139" i="1" s="1"/>
  <c r="AE140" i="1"/>
  <c r="AH140" i="1" s="1"/>
  <c r="AE116" i="1"/>
  <c r="AH116" i="1" s="1"/>
  <c r="AE46" i="1"/>
  <c r="AH46" i="1" s="1"/>
  <c r="AE47" i="1"/>
  <c r="AH47" i="1" s="1"/>
  <c r="AE48" i="1"/>
  <c r="AH48" i="1" s="1"/>
  <c r="AE49" i="1"/>
  <c r="AH49" i="1" s="1"/>
  <c r="AE50" i="1"/>
  <c r="AH50" i="1" s="1"/>
  <c r="AE51" i="1"/>
  <c r="AH51" i="1" s="1"/>
  <c r="AE52" i="1"/>
  <c r="AH52" i="1" s="1"/>
  <c r="AE53" i="1"/>
  <c r="AH53" i="1" s="1"/>
  <c r="AE54" i="1"/>
  <c r="AH54" i="1" s="1"/>
  <c r="AE55" i="1"/>
  <c r="AH55" i="1" s="1"/>
  <c r="AE56" i="1"/>
  <c r="AH56" i="1" s="1"/>
  <c r="AE57" i="1"/>
  <c r="AH57" i="1" s="1"/>
  <c r="AE58" i="1"/>
  <c r="AH58" i="1" s="1"/>
  <c r="AE59" i="1"/>
  <c r="AH59" i="1" s="1"/>
  <c r="AE60" i="1"/>
  <c r="AH60" i="1" s="1"/>
  <c r="AE61" i="1"/>
  <c r="AH61" i="1" s="1"/>
  <c r="AE62" i="1"/>
  <c r="AH62" i="1" s="1"/>
  <c r="AE63" i="1"/>
  <c r="AH63" i="1" s="1"/>
  <c r="AE64" i="1"/>
  <c r="AH64" i="1" s="1"/>
  <c r="AE65" i="1"/>
  <c r="AH65" i="1" s="1"/>
  <c r="AE66" i="1"/>
  <c r="AH66" i="1" s="1"/>
  <c r="AE67" i="1"/>
  <c r="AH67" i="1" s="1"/>
  <c r="AE68" i="1"/>
  <c r="AH68" i="1" s="1"/>
  <c r="AE69" i="1"/>
  <c r="AH69" i="1" s="1"/>
  <c r="AE70" i="1"/>
  <c r="AH70" i="1" s="1"/>
  <c r="AE71" i="1"/>
  <c r="AH71" i="1" s="1"/>
  <c r="AE72" i="1"/>
  <c r="AH72" i="1" s="1"/>
  <c r="AE73" i="1"/>
  <c r="AH73" i="1" s="1"/>
  <c r="AE74" i="1"/>
  <c r="AH74" i="1" s="1"/>
  <c r="AE75" i="1"/>
  <c r="AH75" i="1" s="1"/>
  <c r="AE76" i="1"/>
  <c r="AH76" i="1" s="1"/>
  <c r="AE77" i="1"/>
  <c r="AH77" i="1" s="1"/>
  <c r="AE78" i="1"/>
  <c r="AH78" i="1" s="1"/>
  <c r="AE80" i="1"/>
  <c r="AH80" i="1" s="1"/>
  <c r="AE81" i="1"/>
  <c r="AH81" i="1" s="1"/>
  <c r="AE82" i="1"/>
  <c r="AH82" i="1" s="1"/>
  <c r="AE83" i="1"/>
  <c r="AH83" i="1" s="1"/>
  <c r="AE84" i="1"/>
  <c r="AH84" i="1" s="1"/>
  <c r="AE85" i="1"/>
  <c r="AH85" i="1" s="1"/>
  <c r="AE86" i="1"/>
  <c r="AH86" i="1" s="1"/>
  <c r="AE87" i="1"/>
  <c r="AH87" i="1" s="1"/>
  <c r="AE88" i="1"/>
  <c r="AH88" i="1" s="1"/>
  <c r="AE89" i="1"/>
  <c r="AH89" i="1" s="1"/>
  <c r="AE90" i="1"/>
  <c r="AH90" i="1" s="1"/>
  <c r="AE91" i="1"/>
  <c r="AH91" i="1" s="1"/>
  <c r="AE92" i="1"/>
  <c r="AH92" i="1" s="1"/>
  <c r="AE93" i="1"/>
  <c r="AH93" i="1" s="1"/>
  <c r="AE94" i="1"/>
  <c r="AH94" i="1" s="1"/>
  <c r="AE95" i="1"/>
  <c r="AH95" i="1" s="1"/>
  <c r="AE96" i="1"/>
  <c r="AH96" i="1" s="1"/>
  <c r="AE97" i="1"/>
  <c r="AH97" i="1" s="1"/>
  <c r="AE98" i="1"/>
  <c r="AH98" i="1" s="1"/>
  <c r="AE99" i="1"/>
  <c r="AH99" i="1" s="1"/>
  <c r="AE100" i="1"/>
  <c r="AH100" i="1" s="1"/>
  <c r="AE101" i="1"/>
  <c r="AH101" i="1" s="1"/>
  <c r="AE102" i="1"/>
  <c r="AH102" i="1" s="1"/>
  <c r="AE103" i="1"/>
  <c r="AH103" i="1" s="1"/>
  <c r="AE104" i="1"/>
  <c r="AH104" i="1" s="1"/>
  <c r="AE105" i="1"/>
  <c r="AH105" i="1" s="1"/>
  <c r="AE106" i="1"/>
  <c r="AH106" i="1" s="1"/>
  <c r="AE107" i="1"/>
  <c r="AH107" i="1" s="1"/>
  <c r="AE108" i="1"/>
  <c r="AH108" i="1" s="1"/>
  <c r="AE109" i="1"/>
  <c r="AH109" i="1" s="1"/>
  <c r="AE110" i="1"/>
  <c r="AH110" i="1" s="1"/>
  <c r="AE111" i="1"/>
  <c r="AH111" i="1" s="1"/>
  <c r="AE112" i="1"/>
  <c r="AH112" i="1" s="1"/>
  <c r="AE45" i="1"/>
  <c r="AH12" i="1"/>
  <c r="AH13" i="1"/>
  <c r="AH15" i="1"/>
  <c r="AH16" i="1"/>
  <c r="AH18" i="1"/>
  <c r="AH21" i="1"/>
  <c r="AH22" i="1"/>
  <c r="AH23" i="1"/>
  <c r="AH27" i="1"/>
  <c r="AH28" i="1"/>
  <c r="AH29" i="1"/>
  <c r="AH30" i="1"/>
  <c r="AH33" i="1"/>
  <c r="AH34" i="1"/>
  <c r="AH35" i="1"/>
  <c r="AH36" i="1"/>
  <c r="AH37" i="1"/>
  <c r="AH11" i="1"/>
  <c r="AH45" i="1" l="1"/>
  <c r="AI45" i="1"/>
  <c r="AI27" i="1"/>
  <c r="AG27" i="1"/>
  <c r="AG36" i="1"/>
  <c r="AI36" i="1"/>
  <c r="AI28" i="1"/>
  <c r="AG28" i="1"/>
  <c r="AG35" i="1"/>
  <c r="AI35" i="1"/>
  <c r="AG30" i="1"/>
  <c r="AI30" i="1"/>
  <c r="AG21" i="1"/>
  <c r="AI21" i="1"/>
  <c r="AI37" i="1"/>
  <c r="AG37" i="1"/>
  <c r="AG34" i="1"/>
  <c r="AI34" i="1"/>
  <c r="AG23" i="1"/>
  <c r="AI23" i="1"/>
  <c r="AG29" i="1"/>
  <c r="AI29" i="1"/>
  <c r="AG33" i="1"/>
  <c r="AI33" i="1"/>
  <c r="AI22" i="1"/>
  <c r="AG22" i="1"/>
  <c r="AI140" i="1"/>
  <c r="AG140" i="1"/>
  <c r="AI139" i="1"/>
  <c r="AG139" i="1"/>
  <c r="AI137" i="1"/>
  <c r="AG137" i="1"/>
  <c r="AI136" i="1"/>
  <c r="AG136" i="1"/>
  <c r="AI135" i="1"/>
  <c r="AG135" i="1"/>
  <c r="AI134" i="1"/>
  <c r="AG134" i="1"/>
  <c r="AI133" i="1"/>
  <c r="AG133" i="1"/>
  <c r="AI132" i="1"/>
  <c r="AG132" i="1"/>
  <c r="AI131" i="1"/>
  <c r="AG131" i="1"/>
  <c r="AI130" i="1"/>
  <c r="AG130" i="1"/>
  <c r="AI127" i="1"/>
  <c r="AG127" i="1"/>
  <c r="AI126" i="1"/>
  <c r="AG126" i="1"/>
  <c r="AI125" i="1"/>
  <c r="AG125" i="1"/>
  <c r="AI124" i="1"/>
  <c r="AG124" i="1"/>
  <c r="AI123" i="1"/>
  <c r="AG123" i="1"/>
  <c r="AI122" i="1"/>
  <c r="AG122" i="1"/>
  <c r="AI121" i="1"/>
  <c r="AG121" i="1"/>
  <c r="AI120" i="1"/>
  <c r="AG120" i="1"/>
  <c r="AI119" i="1"/>
  <c r="AG119" i="1"/>
  <c r="AI118" i="1"/>
  <c r="AG118" i="1"/>
  <c r="AI117" i="1"/>
  <c r="AG117" i="1"/>
  <c r="AI116" i="1"/>
  <c r="AG116" i="1"/>
  <c r="AG44" i="1"/>
  <c r="AI44" i="1"/>
  <c r="AG45" i="1"/>
  <c r="AG46" i="1"/>
  <c r="AI46" i="1"/>
  <c r="AG47" i="1"/>
  <c r="AI47" i="1"/>
  <c r="AG48" i="1"/>
  <c r="AI48" i="1"/>
  <c r="AG49" i="1"/>
  <c r="AI49" i="1"/>
  <c r="AG50" i="1"/>
  <c r="AI50" i="1"/>
  <c r="AG51" i="1"/>
  <c r="AI51" i="1"/>
  <c r="AG52" i="1"/>
  <c r="AI52" i="1"/>
  <c r="AG53" i="1"/>
  <c r="AI53" i="1"/>
  <c r="AG54" i="1"/>
  <c r="AI54" i="1"/>
  <c r="AG55" i="1"/>
  <c r="AI55" i="1"/>
  <c r="AG56" i="1"/>
  <c r="AI56" i="1"/>
  <c r="AG57" i="1"/>
  <c r="AI57" i="1"/>
  <c r="AG58" i="1"/>
  <c r="AI58" i="1"/>
  <c r="AG59" i="1"/>
  <c r="AI59" i="1"/>
  <c r="AG60" i="1"/>
  <c r="AI60" i="1"/>
  <c r="AG61" i="1"/>
  <c r="AI61" i="1"/>
  <c r="AG62" i="1"/>
  <c r="AI62" i="1"/>
  <c r="AG63" i="1"/>
  <c r="AI63" i="1"/>
  <c r="AG64" i="1"/>
  <c r="AI64" i="1"/>
  <c r="AG65" i="1"/>
  <c r="AI65" i="1"/>
  <c r="AG66" i="1"/>
  <c r="AI66" i="1"/>
  <c r="AG67" i="1"/>
  <c r="AI67" i="1"/>
  <c r="AG68" i="1"/>
  <c r="AI68" i="1"/>
  <c r="AG69" i="1"/>
  <c r="AI69" i="1"/>
  <c r="AG70" i="1"/>
  <c r="AI70" i="1"/>
  <c r="AG71" i="1"/>
  <c r="AI71" i="1"/>
  <c r="AG72" i="1"/>
  <c r="AI72" i="1"/>
  <c r="AG73" i="1"/>
  <c r="AI73" i="1"/>
  <c r="AG74" i="1"/>
  <c r="AI74" i="1"/>
  <c r="AG75" i="1"/>
  <c r="AI75" i="1"/>
  <c r="AG76" i="1"/>
  <c r="AI76" i="1"/>
  <c r="AG77" i="1"/>
  <c r="AI77" i="1"/>
  <c r="AG78" i="1"/>
  <c r="AI78" i="1"/>
  <c r="AG79" i="1"/>
  <c r="AI79" i="1"/>
  <c r="AG80" i="1"/>
  <c r="AI80" i="1"/>
  <c r="AG81" i="1"/>
  <c r="AI81" i="1"/>
  <c r="AG82" i="1"/>
  <c r="AI82" i="1"/>
  <c r="AG83" i="1"/>
  <c r="AI83" i="1"/>
  <c r="AG84" i="1"/>
  <c r="AI84" i="1"/>
  <c r="AG85" i="1"/>
  <c r="AI85" i="1"/>
  <c r="AG86" i="1"/>
  <c r="AI86" i="1"/>
  <c r="AG87" i="1"/>
  <c r="AI87" i="1"/>
  <c r="AG88" i="1"/>
  <c r="AI88" i="1"/>
  <c r="AG89" i="1"/>
  <c r="AI89" i="1"/>
  <c r="AG90" i="1"/>
  <c r="AI90" i="1"/>
  <c r="AG91" i="1"/>
  <c r="AI91" i="1"/>
  <c r="AG92" i="1"/>
  <c r="AI92" i="1"/>
  <c r="AG93" i="1"/>
  <c r="AI93" i="1"/>
  <c r="AG94" i="1"/>
  <c r="AI94" i="1"/>
  <c r="AG95" i="1"/>
  <c r="AI95" i="1"/>
  <c r="AG96" i="1"/>
  <c r="AI96" i="1"/>
  <c r="AG97" i="1"/>
  <c r="AI97" i="1"/>
  <c r="AG98" i="1"/>
  <c r="AI98" i="1"/>
  <c r="AG99" i="1"/>
  <c r="AI99" i="1"/>
  <c r="AG100" i="1"/>
  <c r="AI100" i="1"/>
  <c r="AG101" i="1"/>
  <c r="AI101" i="1"/>
  <c r="AG102" i="1"/>
  <c r="AI102" i="1"/>
  <c r="AG103" i="1"/>
  <c r="AI103" i="1"/>
  <c r="AG104" i="1"/>
  <c r="AI104" i="1"/>
  <c r="AG105" i="1"/>
  <c r="AI105" i="1"/>
  <c r="AG106" i="1"/>
  <c r="AI106" i="1"/>
  <c r="AG107" i="1"/>
  <c r="AI107" i="1"/>
  <c r="AG108" i="1"/>
  <c r="AI108" i="1"/>
  <c r="AG109" i="1"/>
  <c r="AI109" i="1"/>
  <c r="AG110" i="1"/>
  <c r="AI110" i="1"/>
  <c r="AG111" i="1"/>
  <c r="AI111" i="1"/>
  <c r="AG112" i="1"/>
  <c r="AI112" i="1"/>
  <c r="AI42" i="1"/>
  <c r="AG42" i="1"/>
  <c r="AG12" i="1"/>
  <c r="AI12" i="1"/>
  <c r="AG13" i="1"/>
  <c r="AI13" i="1"/>
  <c r="AG15" i="1"/>
  <c r="AI15" i="1"/>
  <c r="AG16" i="1"/>
  <c r="AI16" i="1"/>
  <c r="AG18" i="1"/>
  <c r="AI18" i="1"/>
  <c r="AI11" i="1"/>
  <c r="AG11" i="1"/>
  <c r="D131" i="1"/>
  <c r="D123" i="1"/>
  <c r="D110" i="1"/>
  <c r="D127" i="1"/>
  <c r="D125" i="1"/>
  <c r="D119" i="1"/>
  <c r="D116" i="1"/>
  <c r="D103" i="1"/>
  <c r="D102" i="1"/>
  <c r="D101" i="1"/>
  <c r="D94" i="1"/>
  <c r="D93" i="1"/>
  <c r="D88" i="1"/>
  <c r="D85" i="1"/>
  <c r="D80" i="1"/>
  <c r="D77" i="1"/>
  <c r="D72" i="1"/>
  <c r="D69" i="1"/>
  <c r="D64" i="1"/>
  <c r="D63" i="1"/>
  <c r="D61" i="1"/>
  <c r="D56" i="1"/>
  <c r="D55" i="1"/>
  <c r="D54" i="1"/>
  <c r="D53" i="1"/>
  <c r="D45" i="1"/>
  <c r="AC45" i="1"/>
  <c r="X11" i="1"/>
  <c r="AA44" i="1"/>
  <c r="AB44" i="1"/>
  <c r="AC44" i="1"/>
  <c r="AD44" i="1"/>
  <c r="AA45" i="1"/>
  <c r="AB45" i="1"/>
  <c r="AD45" i="1"/>
  <c r="AD42" i="1"/>
  <c r="AC42" i="1"/>
  <c r="AB42" i="1"/>
  <c r="AA42" i="1"/>
  <c r="X36" i="1"/>
  <c r="AA36" i="1" s="1"/>
  <c r="AA66" i="1"/>
  <c r="AB66" i="1"/>
  <c r="AC66" i="1"/>
  <c r="AD66" i="1"/>
  <c r="AA49" i="1"/>
  <c r="AB49" i="1"/>
  <c r="AC49" i="1"/>
  <c r="AD49" i="1"/>
  <c r="AA58" i="1"/>
  <c r="AB58" i="1"/>
  <c r="AC58" i="1"/>
  <c r="AD58" i="1"/>
  <c r="AA61" i="1"/>
  <c r="AB61" i="1"/>
  <c r="AC61" i="1"/>
  <c r="AD61" i="1"/>
  <c r="AA116" i="1"/>
  <c r="AB116" i="1"/>
  <c r="AC116" i="1"/>
  <c r="AD116" i="1"/>
  <c r="AA117" i="1"/>
  <c r="AB117" i="1"/>
  <c r="AC117" i="1"/>
  <c r="AD117" i="1"/>
  <c r="AA92" i="1"/>
  <c r="AB92" i="1"/>
  <c r="AC92" i="1"/>
  <c r="AD92" i="1"/>
  <c r="AA93" i="1"/>
  <c r="AB93" i="1"/>
  <c r="AC93" i="1"/>
  <c r="AD93" i="1"/>
  <c r="AA98" i="1"/>
  <c r="AB98" i="1"/>
  <c r="AC98" i="1"/>
  <c r="AD98" i="1"/>
  <c r="AA100" i="1"/>
  <c r="AB100" i="1"/>
  <c r="AC100" i="1"/>
  <c r="AD100" i="1"/>
  <c r="AA126" i="1"/>
  <c r="AB126" i="1"/>
  <c r="AC126" i="1"/>
  <c r="AD126" i="1"/>
  <c r="W66" i="1"/>
  <c r="W49" i="1"/>
  <c r="W58" i="1"/>
  <c r="W61" i="1"/>
  <c r="W116" i="1"/>
  <c r="W117" i="1"/>
  <c r="W92" i="1"/>
  <c r="W93" i="1"/>
  <c r="W98" i="1"/>
  <c r="W100" i="1"/>
  <c r="W126" i="1"/>
  <c r="D66" i="1"/>
  <c r="D58" i="1"/>
  <c r="D117" i="1"/>
  <c r="D92" i="1"/>
  <c r="D98" i="1"/>
  <c r="D100" i="1"/>
  <c r="D126" i="1"/>
  <c r="D132" i="1"/>
  <c r="D130" i="1"/>
  <c r="D112" i="1"/>
  <c r="D111" i="1"/>
  <c r="X12" i="1"/>
  <c r="AC12" i="1" s="1"/>
  <c r="X13" i="1"/>
  <c r="Y13" i="1" s="1"/>
  <c r="X15" i="1"/>
  <c r="Y15" i="1" s="1"/>
  <c r="X16" i="1"/>
  <c r="Y16" i="1" s="1"/>
  <c r="X18" i="1"/>
  <c r="Y18" i="1" s="1"/>
  <c r="X21" i="1"/>
  <c r="Y21" i="1" s="1"/>
  <c r="X22" i="1"/>
  <c r="AA22" i="1" s="1"/>
  <c r="X23" i="1"/>
  <c r="Y23" i="1" s="1"/>
  <c r="X27" i="1"/>
  <c r="Y27" i="1" s="1"/>
  <c r="X28" i="1"/>
  <c r="Y28" i="1" s="1"/>
  <c r="X29" i="1"/>
  <c r="Y29" i="1" s="1"/>
  <c r="X33" i="1"/>
  <c r="X34" i="1"/>
  <c r="X35" i="1"/>
  <c r="X37" i="1"/>
  <c r="W119" i="1"/>
  <c r="W130" i="1"/>
  <c r="W131" i="1"/>
  <c r="W132" i="1"/>
  <c r="W133" i="1"/>
  <c r="W120" i="1"/>
  <c r="W121" i="1"/>
  <c r="W122" i="1"/>
  <c r="W123" i="1"/>
  <c r="W124" i="1"/>
  <c r="W125" i="1"/>
  <c r="W127" i="1"/>
  <c r="W134" i="1"/>
  <c r="W135" i="1"/>
  <c r="W136" i="1"/>
  <c r="W137" i="1"/>
  <c r="W139" i="1"/>
  <c r="W140" i="1"/>
  <c r="W111" i="1"/>
  <c r="W112" i="1"/>
  <c r="W105" i="1"/>
  <c r="W106" i="1"/>
  <c r="W107" i="1"/>
  <c r="W108" i="1"/>
  <c r="W118" i="1"/>
  <c r="W46" i="1"/>
  <c r="W47" i="1"/>
  <c r="W48" i="1"/>
  <c r="W50" i="1"/>
  <c r="W51" i="1"/>
  <c r="W52" i="1"/>
  <c r="W53" i="1"/>
  <c r="W54" i="1"/>
  <c r="W55" i="1"/>
  <c r="W56" i="1"/>
  <c r="W57" i="1"/>
  <c r="W59" i="1"/>
  <c r="W60" i="1"/>
  <c r="W62" i="1"/>
  <c r="W63" i="1"/>
  <c r="W64" i="1"/>
  <c r="W65" i="1"/>
  <c r="W67" i="1"/>
  <c r="W68" i="1"/>
  <c r="W69" i="1"/>
  <c r="W70" i="1"/>
  <c r="W81" i="1"/>
  <c r="W82" i="1"/>
  <c r="W83" i="1"/>
  <c r="W84" i="1"/>
  <c r="W85" i="1"/>
  <c r="W86" i="1"/>
  <c r="W87" i="1"/>
  <c r="W88" i="1"/>
  <c r="W89" i="1"/>
  <c r="W90" i="1"/>
  <c r="W109" i="1"/>
  <c r="W110" i="1"/>
  <c r="W91" i="1"/>
  <c r="W94" i="1"/>
  <c r="W95" i="1"/>
  <c r="W96" i="1"/>
  <c r="W97" i="1"/>
  <c r="W99" i="1"/>
  <c r="W101" i="1"/>
  <c r="W102" i="1"/>
  <c r="W103" i="1"/>
  <c r="W104" i="1"/>
  <c r="W45" i="1"/>
  <c r="AA119" i="1"/>
  <c r="AB119" i="1"/>
  <c r="AC119" i="1"/>
  <c r="AD119" i="1"/>
  <c r="AA130" i="1"/>
  <c r="AB130" i="1"/>
  <c r="AC130" i="1"/>
  <c r="AD130" i="1"/>
  <c r="AA131" i="1"/>
  <c r="AB131" i="1"/>
  <c r="AC131" i="1"/>
  <c r="AD131" i="1"/>
  <c r="AA132" i="1"/>
  <c r="AB132" i="1"/>
  <c r="AC132" i="1"/>
  <c r="AD132" i="1"/>
  <c r="AA133" i="1"/>
  <c r="AB133" i="1"/>
  <c r="AC133" i="1"/>
  <c r="AD133" i="1"/>
  <c r="AA120" i="1"/>
  <c r="AB120" i="1"/>
  <c r="AC120" i="1"/>
  <c r="AD120" i="1"/>
  <c r="AA121" i="1"/>
  <c r="AB121" i="1"/>
  <c r="AC121" i="1"/>
  <c r="AD121" i="1"/>
  <c r="AA122" i="1"/>
  <c r="AB122" i="1"/>
  <c r="AC122" i="1"/>
  <c r="AD122" i="1"/>
  <c r="AA123" i="1"/>
  <c r="AB123" i="1"/>
  <c r="AC123" i="1"/>
  <c r="AD123" i="1"/>
  <c r="AA124" i="1"/>
  <c r="AB124" i="1"/>
  <c r="AC124" i="1"/>
  <c r="AD124" i="1"/>
  <c r="AA125" i="1"/>
  <c r="AB125" i="1"/>
  <c r="AC125" i="1"/>
  <c r="AD125" i="1"/>
  <c r="AA127" i="1"/>
  <c r="AB127" i="1"/>
  <c r="AC127" i="1"/>
  <c r="AD127" i="1"/>
  <c r="AA134" i="1"/>
  <c r="AB134" i="1"/>
  <c r="AC134" i="1"/>
  <c r="AD134" i="1"/>
  <c r="AA135" i="1"/>
  <c r="AB135" i="1"/>
  <c r="AC135" i="1"/>
  <c r="AD135" i="1"/>
  <c r="AA136" i="1"/>
  <c r="AB136" i="1"/>
  <c r="AC136" i="1"/>
  <c r="AD136" i="1"/>
  <c r="AA137" i="1"/>
  <c r="AB137" i="1"/>
  <c r="AC137" i="1"/>
  <c r="AD137" i="1"/>
  <c r="AA139" i="1"/>
  <c r="AB139" i="1"/>
  <c r="AC139" i="1"/>
  <c r="AD139" i="1"/>
  <c r="AA140" i="1"/>
  <c r="AB140" i="1"/>
  <c r="AC140" i="1"/>
  <c r="AD140" i="1"/>
  <c r="AD118" i="1"/>
  <c r="AC118" i="1"/>
  <c r="AB118" i="1"/>
  <c r="AA118" i="1"/>
  <c r="AA46" i="1"/>
  <c r="AB46" i="1"/>
  <c r="AC46" i="1"/>
  <c r="AD46" i="1"/>
  <c r="AA47" i="1"/>
  <c r="AB47" i="1"/>
  <c r="AC47" i="1"/>
  <c r="AD47" i="1"/>
  <c r="AA48" i="1"/>
  <c r="AB48" i="1"/>
  <c r="AC48" i="1"/>
  <c r="AD48" i="1"/>
  <c r="AA50" i="1"/>
  <c r="AB50" i="1"/>
  <c r="AC50" i="1"/>
  <c r="AD50" i="1"/>
  <c r="AA51" i="1"/>
  <c r="AB51" i="1"/>
  <c r="AC51" i="1"/>
  <c r="AD51" i="1"/>
  <c r="AA52" i="1"/>
  <c r="AB52" i="1"/>
  <c r="AC52" i="1"/>
  <c r="AD52" i="1"/>
  <c r="AA53" i="1"/>
  <c r="AB53" i="1"/>
  <c r="AC53" i="1"/>
  <c r="AD53" i="1"/>
  <c r="AA54" i="1"/>
  <c r="AB54" i="1"/>
  <c r="AD54" i="1"/>
  <c r="AA55" i="1"/>
  <c r="AB55" i="1"/>
  <c r="AC55" i="1"/>
  <c r="AD55" i="1"/>
  <c r="AA56" i="1"/>
  <c r="AB56" i="1"/>
  <c r="AC56" i="1"/>
  <c r="AD56" i="1"/>
  <c r="AA57" i="1"/>
  <c r="AB57" i="1"/>
  <c r="AC57" i="1"/>
  <c r="AD57" i="1"/>
  <c r="AA59" i="1"/>
  <c r="AB59" i="1"/>
  <c r="AC59" i="1"/>
  <c r="AD59" i="1"/>
  <c r="AA60" i="1"/>
  <c r="AB60" i="1"/>
  <c r="AC60" i="1"/>
  <c r="AD60" i="1"/>
  <c r="AA62" i="1"/>
  <c r="AB62" i="1"/>
  <c r="AC62" i="1"/>
  <c r="AD62" i="1"/>
  <c r="AA63" i="1"/>
  <c r="AB63" i="1"/>
  <c r="AC63" i="1"/>
  <c r="AD63" i="1"/>
  <c r="AA64" i="1"/>
  <c r="AB64" i="1"/>
  <c r="AC64" i="1"/>
  <c r="AD64" i="1"/>
  <c r="AA65" i="1"/>
  <c r="AB65" i="1"/>
  <c r="AC65" i="1"/>
  <c r="AD65" i="1"/>
  <c r="AA67" i="1"/>
  <c r="AB67" i="1"/>
  <c r="AC67" i="1"/>
  <c r="AD67" i="1"/>
  <c r="AA68" i="1"/>
  <c r="AB68" i="1"/>
  <c r="AC68" i="1"/>
  <c r="AD68" i="1"/>
  <c r="AA69" i="1"/>
  <c r="AB69" i="1"/>
  <c r="AC69" i="1"/>
  <c r="AD69" i="1"/>
  <c r="AA70" i="1"/>
  <c r="AB70" i="1"/>
  <c r="AC70" i="1"/>
  <c r="AD70" i="1"/>
  <c r="AA71" i="1"/>
  <c r="AB71" i="1"/>
  <c r="AC71" i="1"/>
  <c r="AD71" i="1"/>
  <c r="AA73" i="1"/>
  <c r="AB73" i="1"/>
  <c r="AC73" i="1"/>
  <c r="AD73" i="1"/>
  <c r="AA74" i="1"/>
  <c r="AB74" i="1"/>
  <c r="AC74" i="1"/>
  <c r="AD74" i="1"/>
  <c r="AA75" i="1"/>
  <c r="AB75" i="1"/>
  <c r="AC75" i="1"/>
  <c r="AD75" i="1"/>
  <c r="AA76" i="1"/>
  <c r="AB76" i="1"/>
  <c r="AC76" i="1"/>
  <c r="AD76" i="1"/>
  <c r="AA77" i="1"/>
  <c r="AB77" i="1"/>
  <c r="AC77" i="1"/>
  <c r="AD77" i="1"/>
  <c r="AA78" i="1"/>
  <c r="AB78" i="1"/>
  <c r="AC78" i="1"/>
  <c r="AD78" i="1"/>
  <c r="AA79" i="1"/>
  <c r="AB79" i="1"/>
  <c r="AC79" i="1"/>
  <c r="AD79" i="1"/>
  <c r="AA80" i="1"/>
  <c r="AB80" i="1"/>
  <c r="AC80" i="1"/>
  <c r="AD80" i="1"/>
  <c r="AA81" i="1"/>
  <c r="AB81" i="1"/>
  <c r="AC81" i="1"/>
  <c r="AD81" i="1"/>
  <c r="AA82" i="1"/>
  <c r="AB82" i="1"/>
  <c r="AC82" i="1"/>
  <c r="AD82" i="1"/>
  <c r="AA83" i="1"/>
  <c r="AB83" i="1"/>
  <c r="AC83" i="1"/>
  <c r="AD83" i="1"/>
  <c r="AA84" i="1"/>
  <c r="AB84" i="1"/>
  <c r="AC84" i="1"/>
  <c r="AD84" i="1"/>
  <c r="AA85" i="1"/>
  <c r="AB85" i="1"/>
  <c r="AC85" i="1"/>
  <c r="AD85" i="1"/>
  <c r="AA86" i="1"/>
  <c r="AB86" i="1"/>
  <c r="AC86" i="1"/>
  <c r="AD86" i="1"/>
  <c r="AA87" i="1"/>
  <c r="AB87" i="1"/>
  <c r="AC87" i="1"/>
  <c r="AD87" i="1"/>
  <c r="AA88" i="1"/>
  <c r="AB88" i="1"/>
  <c r="AC88" i="1"/>
  <c r="AD88" i="1"/>
  <c r="AA89" i="1"/>
  <c r="AB89" i="1"/>
  <c r="AC89" i="1"/>
  <c r="AD89" i="1"/>
  <c r="AA90" i="1"/>
  <c r="AB90" i="1"/>
  <c r="AC90" i="1"/>
  <c r="AD90" i="1"/>
  <c r="AA109" i="1"/>
  <c r="AB109" i="1"/>
  <c r="AC109" i="1"/>
  <c r="AD109" i="1"/>
  <c r="AA110" i="1"/>
  <c r="AB110" i="1"/>
  <c r="AC110" i="1"/>
  <c r="AD110" i="1"/>
  <c r="AA91" i="1"/>
  <c r="AB91" i="1"/>
  <c r="AC91" i="1"/>
  <c r="AD91" i="1"/>
  <c r="AA94" i="1"/>
  <c r="AB94" i="1"/>
  <c r="AC94" i="1"/>
  <c r="AD94" i="1"/>
  <c r="AA95" i="1"/>
  <c r="AB95" i="1"/>
  <c r="AC95" i="1"/>
  <c r="AD95" i="1"/>
  <c r="AA96" i="1"/>
  <c r="AB96" i="1"/>
  <c r="AC96" i="1"/>
  <c r="AD96" i="1"/>
  <c r="AA97" i="1"/>
  <c r="AB97" i="1"/>
  <c r="AC97" i="1"/>
  <c r="AD97" i="1"/>
  <c r="AA99" i="1"/>
  <c r="AB99" i="1"/>
  <c r="AC99" i="1"/>
  <c r="AD99" i="1"/>
  <c r="AA101" i="1"/>
  <c r="AB101" i="1"/>
  <c r="AC101" i="1"/>
  <c r="AD101" i="1"/>
  <c r="AA102" i="1"/>
  <c r="AB102" i="1"/>
  <c r="AC102" i="1"/>
  <c r="AD102" i="1"/>
  <c r="AA103" i="1"/>
  <c r="AB103" i="1"/>
  <c r="AC103" i="1"/>
  <c r="AD103" i="1"/>
  <c r="AA104" i="1"/>
  <c r="AB104" i="1"/>
  <c r="AC104" i="1"/>
  <c r="AD104" i="1"/>
  <c r="AA111" i="1"/>
  <c r="AB111" i="1"/>
  <c r="AC111" i="1"/>
  <c r="AD111" i="1"/>
  <c r="AA112" i="1"/>
  <c r="AB112" i="1"/>
  <c r="AC112" i="1"/>
  <c r="AD112" i="1"/>
  <c r="AA105" i="1"/>
  <c r="AB105" i="1"/>
  <c r="AC105" i="1"/>
  <c r="AD105" i="1"/>
  <c r="AA106" i="1"/>
  <c r="AB106" i="1"/>
  <c r="AC106" i="1"/>
  <c r="AD106" i="1"/>
  <c r="AA107" i="1"/>
  <c r="AB107" i="1"/>
  <c r="AC107" i="1"/>
  <c r="AD107" i="1"/>
  <c r="AA108" i="1"/>
  <c r="AB108" i="1"/>
  <c r="AC108" i="1"/>
  <c r="AD108" i="1"/>
  <c r="W42" i="1"/>
  <c r="W44" i="1"/>
  <c r="D50" i="1"/>
  <c r="D51" i="1"/>
  <c r="D52" i="1"/>
  <c r="D57" i="1"/>
  <c r="D59" i="1"/>
  <c r="D60" i="1"/>
  <c r="D62" i="1"/>
  <c r="D65" i="1"/>
  <c r="D67" i="1"/>
  <c r="D68" i="1"/>
  <c r="D70" i="1"/>
  <c r="D71" i="1"/>
  <c r="D73" i="1"/>
  <c r="D74" i="1"/>
  <c r="D75" i="1"/>
  <c r="D76" i="1"/>
  <c r="D78" i="1"/>
  <c r="D79" i="1"/>
  <c r="D81" i="1"/>
  <c r="D82" i="1"/>
  <c r="D83" i="1"/>
  <c r="D84" i="1"/>
  <c r="D86" i="1"/>
  <c r="D87" i="1"/>
  <c r="D89" i="1"/>
  <c r="D90" i="1"/>
  <c r="D91" i="1"/>
  <c r="D95" i="1"/>
  <c r="D96" i="1"/>
  <c r="D97" i="1"/>
  <c r="D99" i="1"/>
  <c r="D104" i="1"/>
  <c r="D105" i="1"/>
  <c r="D106" i="1"/>
  <c r="D107" i="1"/>
  <c r="D108" i="1"/>
  <c r="D118" i="1"/>
  <c r="D124" i="1"/>
  <c r="D120" i="1"/>
  <c r="D121" i="1"/>
  <c r="D122" i="1"/>
  <c r="X30" i="1"/>
  <c r="D109" i="1"/>
  <c r="AB33" i="1" l="1"/>
  <c r="Y33" i="1"/>
  <c r="AC34" i="1"/>
  <c r="Y34" i="1"/>
  <c r="AC35" i="1"/>
  <c r="Y35" i="1"/>
  <c r="AB27" i="1"/>
  <c r="Z11" i="1"/>
  <c r="Y11" i="1"/>
  <c r="Z30" i="1"/>
  <c r="Y30" i="1"/>
  <c r="Z12" i="1"/>
  <c r="Y12" i="1"/>
  <c r="AD29" i="1"/>
  <c r="Z29" i="1"/>
  <c r="AA15" i="1"/>
  <c r="Z15" i="1"/>
  <c r="AD28" i="1"/>
  <c r="Z28" i="1"/>
  <c r="AA21" i="1"/>
  <c r="Z21" i="1"/>
  <c r="AD13" i="1"/>
  <c r="Z13" i="1"/>
  <c r="AD27" i="1"/>
  <c r="Z27" i="1"/>
  <c r="AC18" i="1"/>
  <c r="Z18" i="1"/>
  <c r="AD23" i="1"/>
  <c r="Z23" i="1"/>
  <c r="AD16" i="1"/>
  <c r="Z16" i="1"/>
  <c r="AD11" i="1"/>
  <c r="AA11" i="1"/>
  <c r="AB12" i="1"/>
  <c r="AA12" i="1"/>
  <c r="AC13" i="1"/>
  <c r="AD15" i="1"/>
  <c r="AC36" i="1"/>
  <c r="AB23" i="1"/>
  <c r="AC28" i="1"/>
  <c r="AA13" i="1"/>
  <c r="AD12" i="1"/>
  <c r="AA23" i="1"/>
  <c r="AD30" i="1"/>
  <c r="AA35" i="1"/>
  <c r="AC23" i="1"/>
  <c r="AC22" i="1"/>
  <c r="AB22" i="1"/>
  <c r="AD22" i="1"/>
  <c r="AB21" i="1"/>
  <c r="AD21" i="1"/>
  <c r="AA18" i="1"/>
  <c r="AB15" i="1"/>
  <c r="AC15" i="1"/>
  <c r="AB36" i="1"/>
  <c r="AB35" i="1"/>
  <c r="AA33" i="1"/>
  <c r="AC33" i="1"/>
  <c r="AD33" i="1"/>
  <c r="AB28" i="1"/>
  <c r="AC27" i="1"/>
  <c r="AB16" i="1"/>
  <c r="AB18" i="1"/>
  <c r="AB11" i="1"/>
  <c r="AC16" i="1"/>
  <c r="AA16" i="1"/>
  <c r="AD35" i="1"/>
  <c r="AC11" i="1"/>
  <c r="AC21" i="1"/>
  <c r="AB34" i="1"/>
  <c r="AA34" i="1"/>
  <c r="AD18" i="1"/>
  <c r="AD34" i="1"/>
  <c r="AC29" i="1"/>
  <c r="AB13" i="1"/>
  <c r="AC30" i="1"/>
  <c r="AB30" i="1"/>
  <c r="AB29" i="1"/>
  <c r="AI25" i="1" l="1"/>
  <c r="AI24" i="1"/>
  <c r="D42" i="1"/>
  <c r="D44" i="1"/>
  <c r="H44" i="1" l="1"/>
  <c r="N44" i="1"/>
  <c r="O44" i="1"/>
  <c r="P44" i="1"/>
  <c r="M44" i="1"/>
  <c r="H42" i="1"/>
  <c r="O42" i="1"/>
  <c r="N42" i="1"/>
  <c r="M42" i="1"/>
  <c r="P42" i="1"/>
  <c r="J42" i="1"/>
  <c r="N72" i="1"/>
  <c r="O72" i="1"/>
  <c r="P72" i="1"/>
  <c r="M72" i="1"/>
  <c r="AD72" i="1"/>
  <c r="AB72" i="1"/>
  <c r="AC72" i="1"/>
  <c r="AA72" i="1"/>
  <c r="AP11" i="1"/>
  <c r="BA22" i="1" l="1"/>
  <c r="Q21" i="1" l="1"/>
  <c r="T21" i="1" s="1"/>
  <c r="S21" i="1" l="1"/>
  <c r="Q22" i="1"/>
  <c r="T22" i="1" s="1"/>
  <c r="Q20" i="1" l="1"/>
  <c r="S22" i="1"/>
  <c r="R20" i="1" l="1"/>
  <c r="T20" i="1"/>
  <c r="S20" i="1"/>
  <c r="Q23" i="1"/>
  <c r="T23" i="1" s="1"/>
  <c r="S2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Peet Kotzé</author>
  </authors>
  <commentList>
    <comment ref="M43" authorId="0" shapeId="0" xr:uid="{47CB551A-F9CC-48C3-8799-4C60BEF8DA1D}">
      <text>
        <r>
          <rPr>
            <b/>
            <sz val="9"/>
            <color indexed="81"/>
            <rFont val="Tahoma"/>
            <family val="2"/>
          </rPr>
          <t>Peet Kotzé:</t>
        </r>
        <r>
          <rPr>
            <sz val="9"/>
            <color indexed="81"/>
            <rFont val="Tahoma"/>
            <family val="2"/>
          </rPr>
          <t xml:space="preserve">
2017 - R 675 300
2018 - +15% (MPS)
2019 - + 12.5% (Ethiqal 10-15%)
2020 - + 12.5% (Ethiqal 10-15%)
2021 - + 7% (Estimate Market %)
2022 - + 5.8% (Same as funders)
</t>
        </r>
      </text>
    </comment>
  </commentList>
</comments>
</file>

<file path=xl/sharedStrings.xml><?xml version="1.0" encoding="utf-8"?>
<sst xmlns="http://schemas.openxmlformats.org/spreadsheetml/2006/main" count="421" uniqueCount="295">
  <si>
    <t>Code</t>
  </si>
  <si>
    <t>Terminology</t>
  </si>
  <si>
    <t>Average Duration Professional</t>
  </si>
  <si>
    <t>Consultations:</t>
  </si>
  <si>
    <t>0109</t>
  </si>
  <si>
    <t>0129</t>
  </si>
  <si>
    <t>Prolonged first/follow-up consultation : 15 min</t>
  </si>
  <si>
    <t>0132</t>
  </si>
  <si>
    <t>Repeat Script</t>
  </si>
  <si>
    <t>0145</t>
  </si>
  <si>
    <t>Consultation : Away from doctor's room</t>
  </si>
  <si>
    <t>0146</t>
  </si>
  <si>
    <t>0147</t>
  </si>
  <si>
    <t>0199</t>
  </si>
  <si>
    <t>Chronic Medicine Forms</t>
  </si>
  <si>
    <t>0107</t>
  </si>
  <si>
    <t>0113</t>
  </si>
  <si>
    <t>0190</t>
  </si>
  <si>
    <t>0191</t>
  </si>
  <si>
    <t>0192</t>
  </si>
  <si>
    <t>0148</t>
  </si>
  <si>
    <t>0149</t>
  </si>
  <si>
    <t>0173</t>
  </si>
  <si>
    <t>0174</t>
  </si>
  <si>
    <t>0175</t>
  </si>
  <si>
    <t>Newborn Attendance -Visit in Ward</t>
  </si>
  <si>
    <t>Hospital follow-up visit</t>
  </si>
  <si>
    <t>Newborn Attendance - Emergency at all hours</t>
  </si>
  <si>
    <t>Elective after-hours services(+50%)</t>
  </si>
  <si>
    <t>Emergency after-hours services(+25%)</t>
  </si>
  <si>
    <t>Cost of material in treatment</t>
  </si>
  <si>
    <t>Setting of sterile tray:</t>
  </si>
  <si>
    <t>Intravenous treatment: Intravenous infusions (cut-down or push-in)</t>
  </si>
  <si>
    <t>Intravenous treatment: Intravenous infusions (push-in)</t>
  </si>
  <si>
    <t>Intravenous treatment: Intravenous infusions (cut-down)</t>
  </si>
  <si>
    <t>Collection of blood specimen(s)</t>
  </si>
  <si>
    <t>Exchange transfusion: First and subsequent (including after-care)</t>
  </si>
  <si>
    <t>Allergy: Skin-prick tests: Immediate hypersensitivity testing</t>
  </si>
  <si>
    <t>Drainage of subcutaneous abscess</t>
  </si>
  <si>
    <t>Stitching of soft-tissue injuries: Stitching of wound</t>
  </si>
  <si>
    <t>Excision and repair by direct suture</t>
  </si>
  <si>
    <t>Removal of foreign bodies from nose: At rooms</t>
  </si>
  <si>
    <t>Laryngeal intubation</t>
  </si>
  <si>
    <t>Bronchoscopy: Bronchoscopy with laser</t>
  </si>
  <si>
    <t>Nebulisation (in rooms)</t>
  </si>
  <si>
    <t>Insertion of intercostal catheter (under water drainage)</t>
  </si>
  <si>
    <t>Paracentesis chest: Diagnostic</t>
  </si>
  <si>
    <t>Paracentesis chest: Therapeutic</t>
  </si>
  <si>
    <t>Flow volume test: Inspiration/expiration</t>
  </si>
  <si>
    <t>Exhaled nitric oxide determination (not for under 4-year old children)</t>
  </si>
  <si>
    <t>Flow volume test: Inspiration/expiration/pre- and post bronchodilator</t>
  </si>
  <si>
    <t>Forced expirogram only</t>
  </si>
  <si>
    <t>Determination of resistance to airflow</t>
  </si>
  <si>
    <t>Peak expiratory flow only</t>
  </si>
  <si>
    <t>Insertion of central venous catheter via peripheral vein in neonates</t>
  </si>
  <si>
    <t>Intensive care: Category 1: Cases requiring intensive monitoring</t>
  </si>
  <si>
    <t>Intensive care: Category 2: Cases requiring active system support</t>
  </si>
  <si>
    <t>Intensive care: Category 2: (Subsequent days)</t>
  </si>
  <si>
    <t>Intensive care: Category 2: After two weeks, per day</t>
  </si>
  <si>
    <t>Intensive care: Category 3: Cases with multiple organ failure or Category 2 patients: First day</t>
  </si>
  <si>
    <t>Intensive care: Category 3</t>
  </si>
  <si>
    <t>Ventilation: First day</t>
  </si>
  <si>
    <t>Ventilation: Subsequent days, per day</t>
  </si>
  <si>
    <t>Ventilation: After two weeks, per day</t>
  </si>
  <si>
    <t>Insertion of arterial pressure cannula</t>
  </si>
  <si>
    <t>Insertion of Swan Ganz catheter for haemodynamics monitoring</t>
  </si>
  <si>
    <t>Insertion of central venous line via peripheral vein</t>
  </si>
  <si>
    <t>Insertion of central venous line via subclavian or jugular veins</t>
  </si>
  <si>
    <t>Hyperalimentation (daily tariff)</t>
  </si>
  <si>
    <t>Prolonged neonatal resuscitation</t>
  </si>
  <si>
    <t>Physician's fee for interpreting an ECG: Without effort</t>
  </si>
  <si>
    <t>Physician's fee for interpreting an ECG: Without and with effort</t>
  </si>
  <si>
    <t>Electrocardiogram: Without effort</t>
  </si>
  <si>
    <t>Electrocardiogram: Without and with effort</t>
  </si>
  <si>
    <t>Electrocardiogram without effort: Under 4 years</t>
  </si>
  <si>
    <t>24 Hour oesophageal pH studies: Interpretation</t>
  </si>
  <si>
    <t>Gastric and duodenal intubation</t>
  </si>
  <si>
    <t>Peritoneal lavage</t>
  </si>
  <si>
    <t>Bladder catheterisation: Male (not at operation)</t>
  </si>
  <si>
    <t>With ureteric meatotomy: Unilateral or bilateral</t>
  </si>
  <si>
    <t>Electro-encephalography: Interpretation</t>
  </si>
  <si>
    <t>Spinal (lumbar) puncture. For diagnosis, drainage of spinal fluid</t>
  </si>
  <si>
    <t>Pure tone audiometry (air conduction)</t>
  </si>
  <si>
    <t>Impedance audiometry (tympanometry)</t>
  </si>
  <si>
    <t>Cardiac examination plus Doppler colour mapping</t>
  </si>
  <si>
    <t>Cardiac examination: 2 Dimensional</t>
  </si>
  <si>
    <t>Renal tract</t>
  </si>
  <si>
    <t>Neonatal head scan</t>
  </si>
  <si>
    <t>Bone marrow: Aspiration</t>
  </si>
  <si>
    <t>Bone marrow trephine biopsy</t>
  </si>
  <si>
    <t>0201</t>
  </si>
  <si>
    <t>0202</t>
  </si>
  <si>
    <t>0205</t>
  </si>
  <si>
    <t>0206</t>
  </si>
  <si>
    <t>0207</t>
  </si>
  <si>
    <t>0210</t>
  </si>
  <si>
    <t>0211</t>
  </si>
  <si>
    <t>0220</t>
  </si>
  <si>
    <t>0255</t>
  </si>
  <si>
    <t>0300</t>
  </si>
  <si>
    <t>0307</t>
  </si>
  <si>
    <t>0111</t>
  </si>
  <si>
    <t>Hospital Visit(exl. Neonates)</t>
  </si>
  <si>
    <t>0193</t>
  </si>
  <si>
    <t>0176</t>
  </si>
  <si>
    <t>Multi-stage treadmill test</t>
  </si>
  <si>
    <t>Cardioversion for arrhythmias (any method) with doctor in attendance</t>
  </si>
  <si>
    <t>Paracentesis of pericardium</t>
  </si>
  <si>
    <t>Endomyocardial biopsy</t>
  </si>
  <si>
    <t>Cardiac catheterisation for congenital heart disease: All ages above 1 year old</t>
  </si>
  <si>
    <t>Paediatric cardiac catheterisation: Infants below the age of one year</t>
  </si>
  <si>
    <t>Use of balloon procedure as in item 1290: Second paediatric cardiologist (33)</t>
  </si>
  <si>
    <t>Cardiac examination (MMode)</t>
  </si>
  <si>
    <t>Cardiac examination + effort</t>
  </si>
  <si>
    <t>Cardiac examinations + contrast</t>
  </si>
  <si>
    <t>Cardiac examinations + doppler</t>
  </si>
  <si>
    <t>Trans-oesophageal echocardiography including passing the device</t>
  </si>
  <si>
    <t>Colour Doppler (may be added onto any other regional exam</t>
  </si>
  <si>
    <t>Cardiology Procedures:</t>
  </si>
  <si>
    <t>Procedures:</t>
  </si>
  <si>
    <t>Cardio-respiratory resuscitation 50 units per 30 minutes</t>
  </si>
  <si>
    <t>0019</t>
  </si>
  <si>
    <t>Hospital Consultation</t>
  </si>
  <si>
    <t>Consultation</t>
  </si>
  <si>
    <t>Note:</t>
  </si>
  <si>
    <t>Units</t>
  </si>
  <si>
    <t>R</t>
  </si>
  <si>
    <t>1232*</t>
  </si>
  <si>
    <t>1233*</t>
  </si>
  <si>
    <t>3620*</t>
  </si>
  <si>
    <t>3622*</t>
  </si>
  <si>
    <t>1235*</t>
  </si>
  <si>
    <t>1236*</t>
  </si>
  <si>
    <t>3621*</t>
  </si>
  <si>
    <t>3623*</t>
  </si>
  <si>
    <t>3624*</t>
  </si>
  <si>
    <t>3625*</t>
  </si>
  <si>
    <t>0209</t>
  </si>
  <si>
    <t>Umbilical artery cannulation at birth</t>
  </si>
  <si>
    <t>Bronchoscopy: Diagnostic bronchoscopy without removing foreign object</t>
  </si>
  <si>
    <t>Bronchial lavage</t>
  </si>
  <si>
    <t>Detemination of resistance to airflow, oscillary or plethysmographic methods</t>
  </si>
  <si>
    <t>Cario-respetory resuscitation: Prolonged attendance in cases of emergency, 50 clinical procedure units per half an hour or part thereof for the firs hour per practitioner, thereafter 25 procedure units per half an hour up to a maximum of 150 clinical procedure units per practitioner.  Resuscitation fee includes all necessary additional procedures.</t>
  </si>
  <si>
    <t>24hour ambulatory ECG monitoring (Holter): Interpretation</t>
  </si>
  <si>
    <t>Insertion of temporary pacemaker (modifier 0005 not acceptable)</t>
  </si>
  <si>
    <t>Percutaneous aspiration of bladder</t>
  </si>
  <si>
    <t>Bladder catheterisation: Female (not at operation)</t>
  </si>
  <si>
    <t>Use Baloon procedures including: First paediatric cardiologist (33) Atrial septoscomy, Pulmonary valve valvolopscopy, Aortic valve valvolopscopy, Closure atrail septal defect, Closure of patient ductus arteriousus</t>
  </si>
  <si>
    <t>Disclaimer:</t>
  </si>
  <si>
    <t>See the Notes below for All Tariffs</t>
  </si>
  <si>
    <t>1290*</t>
  </si>
  <si>
    <t>1291*</t>
  </si>
  <si>
    <t>3636*</t>
  </si>
  <si>
    <t>3637*</t>
  </si>
  <si>
    <t>3633</t>
  </si>
  <si>
    <t>3719</t>
  </si>
  <si>
    <t>3720</t>
  </si>
  <si>
    <t>a) Surgery on neonates (up to and including 28 days after birth) and low birth weight infants (less than 2500g) under general anaesthesia (excluding circumcision): per fee for procedure + 50% for surgeons and a 50% increase in anaesthetic time units for anaesthesiologists
b) Neonates requiring intensive care: Per fee for the intensive care items (section 4.7.2) +50% for neonatologists and/or paediatricians</t>
  </si>
  <si>
    <t>Intensive care: Category 3: Cases with multiple organ failure or Category 2 patients:Subsequent days</t>
  </si>
  <si>
    <t xml:space="preserve">The above schedule is based on information avaiable to HealthMan and HealthMan will NOT be held responsible for any losses incurred by practitioners resulting from the use of this schedule. </t>
  </si>
  <si>
    <t>Profmed 
RCF</t>
  </si>
  <si>
    <t>Legend:</t>
  </si>
  <si>
    <t>DPA = Direct Payment Arrangement</t>
  </si>
  <si>
    <t>Prem = Premier</t>
  </si>
  <si>
    <t>R = Rand</t>
  </si>
  <si>
    <t>RCF = Rand Conversion Factor (Rand Value per Unit)</t>
  </si>
  <si>
    <t>VAT = Value Added Tax</t>
  </si>
  <si>
    <t>Hospital Visit(exl. Neonates) - Governance Project only</t>
  </si>
  <si>
    <t>Emergency after-hours services(+25%) - Governance Project only</t>
  </si>
  <si>
    <t>COMPARATIVE TARIFFS</t>
  </si>
  <si>
    <t>HealthMan</t>
  </si>
  <si>
    <t>BankMed</t>
  </si>
  <si>
    <t>Bonitas</t>
  </si>
  <si>
    <t>Discovery</t>
  </si>
  <si>
    <t>FedHealth</t>
  </si>
  <si>
    <t>GEMS</t>
  </si>
  <si>
    <t>KeyHealth</t>
  </si>
  <si>
    <t>POLMED</t>
  </si>
  <si>
    <t>Other</t>
  </si>
  <si>
    <t>RCF</t>
  </si>
  <si>
    <t>Base 
Rate</t>
  </si>
  <si>
    <t>Base
Rate</t>
  </si>
  <si>
    <t>DPA</t>
  </si>
  <si>
    <t>Prem A 
(IH)</t>
  </si>
  <si>
    <t>Prem A 
(OH)</t>
  </si>
  <si>
    <t>Prem B</t>
  </si>
  <si>
    <t>Classic Rate</t>
  </si>
  <si>
    <t>Exec Rate</t>
  </si>
  <si>
    <t>Non-Contracted
RCF</t>
  </si>
  <si>
    <t>Contracted Base Rate</t>
  </si>
  <si>
    <t>Contracted
RCF</t>
  </si>
  <si>
    <t>Base Rate</t>
  </si>
  <si>
    <t>POLMED 
DPA</t>
  </si>
  <si>
    <t>BestMed Base Rate</t>
  </si>
  <si>
    <t>BestMed
RCF</t>
  </si>
  <si>
    <t>Medihelp Base Rate</t>
  </si>
  <si>
    <t>Medihelp RCF</t>
  </si>
  <si>
    <t>Profmed
Base Rate</t>
  </si>
  <si>
    <t>0017</t>
  </si>
  <si>
    <t>Clin. Pro</t>
  </si>
  <si>
    <t>Radiology</t>
  </si>
  <si>
    <t>Clin. Path</t>
  </si>
  <si>
    <t>Ultra</t>
  </si>
  <si>
    <t>Anat. Cy</t>
  </si>
  <si>
    <t>Bankmed</t>
  </si>
  <si>
    <t>GEMS (non) - GP</t>
  </si>
  <si>
    <t>GEMS (non) - Paeds</t>
  </si>
  <si>
    <t>GEMS (non) - Gyn</t>
  </si>
  <si>
    <t>GEMS (Con) - GP</t>
  </si>
  <si>
    <t>GEMS (Con) - Paeds</t>
  </si>
  <si>
    <t>GEMS (Con) - Gyn</t>
  </si>
  <si>
    <t>GEMS (Con)
- 17 
-18
- 19
- 20
- 21
- 31</t>
  </si>
  <si>
    <t>Bestmed</t>
  </si>
  <si>
    <t>Medihelp</t>
  </si>
  <si>
    <t>ProfMed</t>
  </si>
  <si>
    <t>HealthMan - Specialists</t>
  </si>
  <si>
    <t>HealthMan - Psychiatry</t>
  </si>
  <si>
    <t>HealthMan - GP</t>
  </si>
  <si>
    <t xml:space="preserve">1. Codes, Descriptors and Unit Values have been extracted from the SAMA Electronic Medical Doctors Coding Manual (eMDCM) previously known as the SAMA Doctors Billing Manual (DBM).  </t>
  </si>
  <si>
    <t>7. The Healthman tariff for codes that relate to equipment have been retained at Profmed rate*</t>
  </si>
  <si>
    <t>0177</t>
  </si>
  <si>
    <t>Hospital Discharge Day Mangement &lt; 30 Minutes</t>
  </si>
  <si>
    <t>Hospital Discharge Day Mangement &gt; 30 Minutes</t>
  </si>
  <si>
    <t>Hospital Discharge Day Mangement &gt; 30 Minutes (additional)
 - Governance Project only</t>
  </si>
  <si>
    <t>Asthma &amp; Epilepsy (under the age of 13)</t>
  </si>
  <si>
    <t>PGPQC</t>
  </si>
  <si>
    <t>Conults</t>
  </si>
  <si>
    <t>KeyCare</t>
  </si>
  <si>
    <t>2614 (New)</t>
  </si>
  <si>
    <t>2615 (New)</t>
  </si>
  <si>
    <t>MPS (Obs Potrion)</t>
  </si>
  <si>
    <t>Ave Deliveies p/a</t>
  </si>
  <si>
    <t>Schem Units
2614</t>
  </si>
  <si>
    <t>Schem Units
2615</t>
  </si>
  <si>
    <t>SAMA Units 2614</t>
  </si>
  <si>
    <t>SAMA Units 2615</t>
  </si>
  <si>
    <t>GP Consults</t>
  </si>
  <si>
    <t>Discovery - GP Network</t>
  </si>
  <si>
    <t>Non-Network
Base Rate</t>
  </si>
  <si>
    <t>Non-Network
RCF</t>
  </si>
  <si>
    <t>Bonitas - Network</t>
  </si>
  <si>
    <t>Bonitas - non Network</t>
  </si>
  <si>
    <t>BestMed Network</t>
  </si>
  <si>
    <t>Discovery ICU - Non Network</t>
  </si>
  <si>
    <t>Discovery ICU - Network</t>
  </si>
  <si>
    <t>Unique 
ICU RCF</t>
  </si>
  <si>
    <t>9. All Fees marked in "Green" have not been published by the particular Scheme, the tariffs were calculated based on the relvant RCF, e.g. Consulting RCF (please refer to the Disclaimer)</t>
  </si>
  <si>
    <t>11. Applicable to Governance Project Participants (only)</t>
  </si>
  <si>
    <t>Code/Scheme</t>
  </si>
  <si>
    <t>Units --&gt;</t>
  </si>
  <si>
    <t>8.9 (GP) /13.4 (S)</t>
  </si>
  <si>
    <t xml:space="preserve">GEMS (non)
- Physician Fraternity
   - 17, 18, 19, 20, 21, 31
- Surgical Fraternity
  - 24, 26, 28, 30, 36, 42, 44, 46, 114  
</t>
  </si>
  <si>
    <t xml:space="preserve">GEMS (Con) - Surgeons
- Surgical Fraternity
  - 24, 26, 28, 30, 36, 42, 44, 46, 114 </t>
  </si>
  <si>
    <t>1204</t>
  </si>
  <si>
    <t>8. All Tariffs are inlcusive of VAT (15%)</t>
  </si>
  <si>
    <t xml:space="preserve">10. The new and updated procedure codes were approved by the applicable Mangement Group, Society, SAPPF and SAMA in 2015.  We encourage practitioners to use it. </t>
  </si>
  <si>
    <t>Transcutaneous oximetry: Transcutaneous oximetry - single site</t>
  </si>
  <si>
    <t>Cardiac examination + phonocardiography: ADD</t>
  </si>
  <si>
    <t>3626*</t>
  </si>
  <si>
    <t>0130</t>
  </si>
  <si>
    <t>Telephone consultation (all hours)</t>
  </si>
  <si>
    <t>0133</t>
  </si>
  <si>
    <t>Writing of special motivations</t>
  </si>
  <si>
    <t>0126</t>
  </si>
  <si>
    <t xml:space="preserve">Unscheduled consultation (cons.room) </t>
  </si>
  <si>
    <t xml:space="preserve">Emergency consultation (cons.room) </t>
  </si>
  <si>
    <t>Emergency consultation (not cons.room)</t>
  </si>
  <si>
    <t>Polmed Network</t>
  </si>
  <si>
    <t>Polmed Non Network</t>
  </si>
  <si>
    <t>2. Tariffs may differ due to rounding.</t>
  </si>
  <si>
    <t>3. The above codes are the most frequently used codes per discipline and is not an all-inclusive list of all the codes used.</t>
  </si>
  <si>
    <t>6. Other DPAs</t>
  </si>
  <si>
    <t>6.1 We wish to remind you that Bankmed now has one of two Specialist DPA's (Prestige A &amp; B) to choose from.</t>
  </si>
  <si>
    <t xml:space="preserve">6.2 For the Discovery Classic DPA OH consultation you may Bill above the network base rate as per our schedule’s rate.  </t>
  </si>
  <si>
    <t>6.3 Please note that Discovery ICU coding has separate RCFs  since 2017.</t>
  </si>
  <si>
    <t xml:space="preserve">6.4. In general payment arrangement rates have NOT been split between In-Hospital &amp; Out-Hospital, as both are published by schemes.  Use as appropriate for the procedure.  </t>
  </si>
  <si>
    <t xml:space="preserve">        HealthMan, PsychMg and SASOP will communicate to the members as soon as they are being accepted and published by funders.</t>
  </si>
  <si>
    <t>CAMAF Base Rate</t>
  </si>
  <si>
    <t>CAMAF RCF</t>
  </si>
  <si>
    <t>Network Base Rate</t>
  </si>
  <si>
    <t>Network
RCF</t>
  </si>
  <si>
    <t>Non-Contracted Base Rate</t>
  </si>
  <si>
    <t>Ethical
Tariff</t>
  </si>
  <si>
    <t>Please refer to the Notes and Disclaimer on the Digital version of this document before use</t>
  </si>
  <si>
    <t>5. GEMS</t>
  </si>
  <si>
    <t xml:space="preserve">5.1 Please familiarise yourself with the changes in GEMS  </t>
  </si>
  <si>
    <t>5.2 GEMS implemented a differential increase between Network and Non-Network base rates</t>
  </si>
  <si>
    <t xml:space="preserve">6.5 Please note that Fedhealth has a Gynae Network rate for codes 2614 and 2615 at 165% for the lower options, instead of the usual scheme rate. </t>
  </si>
  <si>
    <t>13. The changes in Psychiatry coding effective 2021 has not yet been accepted by many Funders and should be coded as usual - except where communicated</t>
  </si>
  <si>
    <t>CAMAF</t>
  </si>
  <si>
    <t>HEALTHMAN PAEDIATRIC COSTING GUIDE 2024</t>
  </si>
  <si>
    <t xml:space="preserve">    Please note that many of the descriptors are shortened versions.  For the full descriptors please refer to the most recent SAMA eMDCM.</t>
  </si>
  <si>
    <t xml:space="preserve">4. The HealthMan Rate increased by 6.5%(equal to our current assessment of medical inflation). </t>
  </si>
  <si>
    <t>5.3 The Network rate increased with 6% and 5.4% compared to the Non-Network that increased only 5%.    </t>
  </si>
  <si>
    <t xml:space="preserve">12. Please note the most recent SAMA eMDCM is available at www.samedical.org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</si>
</sst>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R-1C09]\ #,##0.00"/>
    <numFmt numFmtId="166" formatCode="_ * #,##0.000_ ;_ * \-#,##0.000_ ;_ * &quot;-&quot;??_ ;_ @_ "/>
    <numFmt numFmtId="167" formatCode="_(* #,##0.000_);_(* \(#,##0.000\);_(* &quot;-&quot;??_);_(@_)"/>
  </numFmts>
  <fonts count="54" x14ac:knownFonts="1">
    <font>
      <sz val="10"/>
      <name val="Arial"/>
    </font>
    <font>
      <sz val="10"/>
      <name val="Arial"/>
      <family val="2"/>
    </font>
    <font>
      <b/>
      <sz val="10"/>
      <name val="Arial"/>
      <family val="2"/>
    </font>
    <font>
      <i/>
      <u/>
      <sz val="10"/>
      <name val="Arial"/>
      <family val="2"/>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i/>
      <u/>
      <sz val="10"/>
      <name val="Calibri"/>
      <family val="2"/>
      <scheme val="minor"/>
    </font>
    <font>
      <b/>
      <sz val="10"/>
      <color indexed="10"/>
      <name val="Calibri"/>
      <family val="2"/>
      <scheme val="minor"/>
    </font>
    <font>
      <b/>
      <u/>
      <sz val="10"/>
      <color indexed="10"/>
      <name val="Calibri"/>
      <family val="2"/>
      <scheme val="minor"/>
    </font>
    <font>
      <b/>
      <sz val="10"/>
      <color indexed="8"/>
      <name val="Calibri"/>
      <family val="2"/>
      <scheme val="minor"/>
    </font>
    <font>
      <b/>
      <u/>
      <sz val="10"/>
      <color indexed="8"/>
      <name val="Calibri"/>
      <family val="2"/>
      <scheme val="minor"/>
    </font>
    <font>
      <b/>
      <sz val="10"/>
      <color rgb="FF0000FF"/>
      <name val="Calibri"/>
      <family val="2"/>
      <scheme val="minor"/>
    </font>
    <font>
      <b/>
      <sz val="10"/>
      <color indexed="12"/>
      <name val="Calibri"/>
      <family val="2"/>
      <scheme val="minor"/>
    </font>
    <font>
      <b/>
      <u/>
      <sz val="10"/>
      <color rgb="FFFF0000"/>
      <name val="Calibri"/>
      <family val="2"/>
      <scheme val="minor"/>
    </font>
    <font>
      <i/>
      <sz val="10"/>
      <color rgb="FF0000FF"/>
      <name val="Calibri"/>
      <family val="2"/>
      <scheme val="minor"/>
    </font>
    <font>
      <sz val="10"/>
      <color rgb="FF0000FF"/>
      <name val="Calibri"/>
      <family val="2"/>
      <scheme val="minor"/>
    </font>
    <font>
      <i/>
      <sz val="10"/>
      <name val="Calibri"/>
      <family val="2"/>
      <scheme val="minor"/>
    </font>
    <font>
      <b/>
      <u/>
      <sz val="12"/>
      <name val="Calibri"/>
      <family val="2"/>
      <scheme val="minor"/>
    </font>
    <font>
      <b/>
      <sz val="10"/>
      <color theme="5" tint="-0.249977111117893"/>
      <name val="Calibri"/>
      <family val="2"/>
      <scheme val="minor"/>
    </font>
    <font>
      <sz val="10"/>
      <color theme="5" tint="-0.249977111117893"/>
      <name val="Calibri"/>
      <family val="2"/>
      <scheme val="minor"/>
    </font>
    <font>
      <sz val="10"/>
      <color theme="5" tint="-0.249977111117893"/>
      <name val="Arial"/>
      <family val="2"/>
    </font>
    <font>
      <b/>
      <sz val="11"/>
      <color theme="1"/>
      <name val="Calibri"/>
      <family val="2"/>
      <scheme val="minor"/>
    </font>
    <font>
      <b/>
      <i/>
      <sz val="10"/>
      <color rgb="FF00B050"/>
      <name val="Calibri"/>
      <family val="2"/>
      <scheme val="minor"/>
    </font>
    <font>
      <b/>
      <sz val="10"/>
      <color theme="0"/>
      <name val="Calibri"/>
      <family val="2"/>
      <scheme val="minor"/>
    </font>
    <font>
      <b/>
      <i/>
      <sz val="10"/>
      <color theme="5" tint="-0.249977111117893"/>
      <name val="Calibri"/>
      <family val="2"/>
      <scheme val="minor"/>
    </font>
    <font>
      <b/>
      <sz val="10"/>
      <color rgb="FF00B050"/>
      <name val="Calibri"/>
      <family val="2"/>
      <scheme val="minor"/>
    </font>
    <font>
      <sz val="11"/>
      <name val="Calibri"/>
      <family val="2"/>
      <scheme val="minor"/>
    </font>
    <font>
      <b/>
      <sz val="11"/>
      <color theme="5" tint="-0.249977111117893"/>
      <name val="Calibri"/>
      <family val="2"/>
      <scheme val="minor"/>
    </font>
    <font>
      <b/>
      <sz val="11"/>
      <color theme="0"/>
      <name val="Calibri"/>
      <family val="2"/>
      <scheme val="minor"/>
    </font>
    <font>
      <b/>
      <i/>
      <sz val="10"/>
      <color rgb="FF7030A0"/>
      <name val="Calibri"/>
      <family val="2"/>
      <scheme val="minor"/>
    </font>
    <font>
      <b/>
      <sz val="10"/>
      <color rgb="FFFF0000"/>
      <name val="Calibri"/>
      <family val="2"/>
      <scheme val="minor"/>
    </font>
    <font>
      <b/>
      <sz val="10"/>
      <color rgb="FFC00000"/>
      <name val="Calibri"/>
      <family val="2"/>
      <scheme val="minor"/>
    </font>
    <font>
      <i/>
      <sz val="10"/>
      <color rgb="FFC00000"/>
      <name val="Calibri"/>
      <family val="2"/>
      <scheme val="minor"/>
    </font>
    <font>
      <b/>
      <sz val="9"/>
      <color indexed="81"/>
      <name val="Tahoma"/>
      <family val="2"/>
    </font>
    <font>
      <sz val="9"/>
      <color indexed="81"/>
      <name val="Tahoma"/>
      <family val="2"/>
    </font>
    <font>
      <sz val="10"/>
      <color theme="1"/>
      <name val="Calibri"/>
      <family val="2"/>
      <scheme val="minor"/>
    </font>
    <font>
      <b/>
      <sz val="10"/>
      <color indexed="63"/>
      <name val="Calibri"/>
      <family val="2"/>
      <scheme val="minor"/>
    </font>
    <font>
      <b/>
      <sz val="10"/>
      <color rgb="FF7030A0"/>
      <name val="Calibri"/>
      <family val="2"/>
      <scheme val="minor"/>
    </font>
    <font>
      <b/>
      <i/>
      <sz val="10"/>
      <name val="Calibri"/>
      <family val="2"/>
      <scheme val="minor"/>
    </font>
    <font>
      <i/>
      <sz val="10"/>
      <color rgb="FF000000"/>
      <name val="Calibri"/>
      <family val="2"/>
    </font>
    <font>
      <b/>
      <i/>
      <sz val="10"/>
      <color rgb="FF000000"/>
      <name val="Calibri"/>
      <family val="2"/>
    </font>
    <font>
      <b/>
      <i/>
      <sz val="11"/>
      <color rgb="FFC00000"/>
      <name val="Calibri"/>
      <family val="2"/>
    </font>
    <font>
      <b/>
      <i/>
      <sz val="10"/>
      <color theme="1"/>
      <name val="Calibri"/>
      <family val="2"/>
      <scheme val="minor"/>
    </font>
    <font>
      <b/>
      <sz val="10"/>
      <color theme="1"/>
      <name val="Calibri"/>
      <family val="2"/>
      <scheme val="minor"/>
    </font>
    <font>
      <i/>
      <sz val="10"/>
      <color theme="1"/>
      <name val="Calibri"/>
      <family val="2"/>
      <scheme val="minor"/>
    </font>
    <font>
      <sz val="10"/>
      <color theme="0"/>
      <name val="Calibri"/>
      <family val="2"/>
      <scheme val="minor"/>
    </font>
    <font>
      <b/>
      <i/>
      <u/>
      <sz val="10"/>
      <color theme="0"/>
      <name val="Calibri"/>
      <family val="2"/>
      <scheme val="minor"/>
    </font>
    <font>
      <i/>
      <sz val="10"/>
      <color theme="0"/>
      <name val="Calibri"/>
      <family val="2"/>
      <scheme val="minor"/>
    </font>
    <font>
      <sz val="11"/>
      <color theme="0"/>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2060"/>
        <bgColor indexed="64"/>
      </patternFill>
    </fill>
    <fill>
      <patternFill patternType="solid">
        <fgColor rgb="FF00B050"/>
        <bgColor indexed="64"/>
      </patternFill>
    </fill>
    <fill>
      <patternFill patternType="solid">
        <fgColor rgb="FFC00000"/>
        <bgColor indexed="64"/>
      </patternFill>
    </fill>
    <fill>
      <patternFill patternType="solid">
        <fgColor rgb="FF00B0F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40" fillId="0" borderId="0"/>
  </cellStyleXfs>
  <cellXfs count="327">
    <xf numFmtId="0" fontId="0" fillId="0" borderId="0" xfId="0"/>
    <xf numFmtId="0" fontId="5" fillId="3" borderId="2" xfId="0" applyFont="1" applyFill="1" applyBorder="1" applyProtection="1">
      <protection hidden="1"/>
    </xf>
    <xf numFmtId="0" fontId="5" fillId="3" borderId="3" xfId="0" applyFont="1" applyFill="1" applyBorder="1" applyProtection="1">
      <protection hidden="1"/>
    </xf>
    <xf numFmtId="0" fontId="5" fillId="3" borderId="4" xfId="0" applyFont="1" applyFill="1" applyBorder="1" applyProtection="1">
      <protection hidden="1"/>
    </xf>
    <xf numFmtId="0" fontId="6" fillId="2" borderId="0" xfId="0" applyFont="1" applyFill="1" applyAlignment="1" applyProtection="1">
      <alignment wrapText="1"/>
      <protection hidden="1"/>
    </xf>
    <xf numFmtId="0" fontId="0" fillId="2" borderId="0" xfId="0" applyFill="1" applyAlignment="1" applyProtection="1">
      <alignment wrapText="1"/>
      <protection hidden="1"/>
    </xf>
    <xf numFmtId="0" fontId="0" fillId="2" borderId="0" xfId="0" applyFill="1" applyProtection="1">
      <protection hidden="1"/>
    </xf>
    <xf numFmtId="0" fontId="6" fillId="2" borderId="0" xfId="0" applyFont="1" applyFill="1" applyProtection="1">
      <protection hidden="1"/>
    </xf>
    <xf numFmtId="164" fontId="6" fillId="2" borderId="0" xfId="1" applyFont="1" applyFill="1" applyBorder="1" applyAlignment="1" applyProtection="1">
      <alignment wrapText="1"/>
      <protection hidden="1"/>
    </xf>
    <xf numFmtId="166" fontId="6" fillId="2" borderId="0" xfId="1" applyNumberFormat="1" applyFont="1" applyFill="1" applyBorder="1" applyAlignment="1" applyProtection="1">
      <alignment wrapText="1"/>
      <protection hidden="1"/>
    </xf>
    <xf numFmtId="0" fontId="9" fillId="4" borderId="1" xfId="0" applyFont="1" applyFill="1" applyBorder="1" applyAlignment="1" applyProtection="1">
      <alignment horizontal="center"/>
      <protection hidden="1"/>
    </xf>
    <xf numFmtId="0" fontId="9" fillId="2" borderId="4" xfId="0" applyFont="1" applyFill="1" applyBorder="1" applyAlignment="1" applyProtection="1">
      <alignment horizontal="center" wrapText="1"/>
      <protection hidden="1"/>
    </xf>
    <xf numFmtId="0" fontId="9" fillId="4" borderId="1" xfId="1" applyNumberFormat="1" applyFont="1" applyFill="1" applyBorder="1" applyAlignment="1" applyProtection="1">
      <alignment horizontal="center" wrapText="1"/>
      <protection hidden="1"/>
    </xf>
    <xf numFmtId="164" fontId="9" fillId="4" borderId="1" xfId="1" applyFont="1" applyFill="1" applyBorder="1" applyAlignment="1" applyProtection="1">
      <alignment horizontal="center" wrapText="1"/>
      <protection hidden="1"/>
    </xf>
    <xf numFmtId="166" fontId="9" fillId="4" borderId="1" xfId="1" applyNumberFormat="1" applyFont="1" applyFill="1" applyBorder="1" applyAlignment="1" applyProtection="1">
      <alignment horizontal="center" wrapText="1"/>
      <protection hidden="1"/>
    </xf>
    <xf numFmtId="0" fontId="9" fillId="4" borderId="1" xfId="0" applyFont="1" applyFill="1" applyBorder="1" applyAlignment="1" applyProtection="1">
      <alignment horizontal="center" wrapText="1"/>
      <protection hidden="1"/>
    </xf>
    <xf numFmtId="0" fontId="6" fillId="2" borderId="0" xfId="0" applyFont="1" applyFill="1" applyAlignment="1" applyProtection="1">
      <alignment horizontal="center" wrapText="1"/>
      <protection hidden="1"/>
    </xf>
    <xf numFmtId="0" fontId="0" fillId="2" borderId="0" xfId="0" applyFill="1" applyAlignment="1" applyProtection="1">
      <alignment horizontal="center" wrapText="1"/>
      <protection hidden="1"/>
    </xf>
    <xf numFmtId="0" fontId="0" fillId="2" borderId="0" xfId="0" applyFill="1" applyAlignment="1" applyProtection="1">
      <alignment horizontal="center"/>
      <protection hidden="1"/>
    </xf>
    <xf numFmtId="0" fontId="9" fillId="2" borderId="5" xfId="0" applyFont="1" applyFill="1" applyBorder="1" applyAlignment="1" applyProtection="1">
      <alignment horizontal="center"/>
      <protection hidden="1"/>
    </xf>
    <xf numFmtId="0" fontId="9" fillId="2" borderId="0" xfId="0" applyFont="1" applyFill="1" applyAlignment="1" applyProtection="1">
      <alignment horizontal="center" wrapText="1"/>
      <protection hidden="1"/>
    </xf>
    <xf numFmtId="0" fontId="9" fillId="5" borderId="1" xfId="1" applyNumberFormat="1" applyFont="1" applyFill="1" applyBorder="1" applyAlignment="1" applyProtection="1">
      <alignment horizontal="center" wrapText="1"/>
      <protection hidden="1"/>
    </xf>
    <xf numFmtId="164" fontId="9" fillId="5" borderId="1" xfId="1" applyFont="1" applyFill="1" applyBorder="1" applyAlignment="1" applyProtection="1">
      <alignment horizontal="center" wrapText="1"/>
      <protection hidden="1"/>
    </xf>
    <xf numFmtId="166" fontId="9" fillId="5" borderId="1" xfId="1" applyNumberFormat="1" applyFont="1" applyFill="1" applyBorder="1" applyAlignment="1" applyProtection="1">
      <alignment wrapText="1"/>
      <protection hidden="1"/>
    </xf>
    <xf numFmtId="166" fontId="9" fillId="5" borderId="1" xfId="1" applyNumberFormat="1" applyFont="1" applyFill="1" applyBorder="1" applyAlignment="1" applyProtection="1">
      <alignment horizontal="center" wrapText="1"/>
      <protection hidden="1"/>
    </xf>
    <xf numFmtId="9" fontId="9" fillId="5" borderId="1" xfId="0" applyNumberFormat="1" applyFont="1" applyFill="1" applyBorder="1" applyAlignment="1" applyProtection="1">
      <alignment horizontal="center" wrapText="1"/>
      <protection hidden="1"/>
    </xf>
    <xf numFmtId="9" fontId="9" fillId="5" borderId="1" xfId="2" applyFont="1" applyFill="1" applyBorder="1" applyAlignment="1" applyProtection="1">
      <alignment horizontal="center" wrapText="1"/>
      <protection hidden="1"/>
    </xf>
    <xf numFmtId="0" fontId="10" fillId="2" borderId="5" xfId="0" applyFont="1" applyFill="1" applyBorder="1" applyAlignment="1" applyProtection="1">
      <alignment horizontal="center"/>
      <protection hidden="1"/>
    </xf>
    <xf numFmtId="0" fontId="10" fillId="2" borderId="0" xfId="0" applyFont="1" applyFill="1" applyAlignment="1" applyProtection="1">
      <alignment horizontal="center" wrapText="1"/>
      <protection hidden="1"/>
    </xf>
    <xf numFmtId="0" fontId="10" fillId="4" borderId="1" xfId="1" applyNumberFormat="1" applyFont="1" applyFill="1" applyBorder="1" applyAlignment="1" applyProtection="1">
      <alignment horizontal="center" wrapText="1"/>
      <protection hidden="1"/>
    </xf>
    <xf numFmtId="0" fontId="11" fillId="2" borderId="0" xfId="0" applyFont="1" applyFill="1" applyAlignment="1" applyProtection="1">
      <alignment wrapText="1"/>
      <protection hidden="1"/>
    </xf>
    <xf numFmtId="0" fontId="3" fillId="2" borderId="0" xfId="0" applyFont="1" applyFill="1" applyAlignment="1" applyProtection="1">
      <alignment wrapText="1"/>
      <protection hidden="1"/>
    </xf>
    <xf numFmtId="0" fontId="3" fillId="2" borderId="0" xfId="0" applyFont="1" applyFill="1" applyProtection="1">
      <protection hidden="1"/>
    </xf>
    <xf numFmtId="49" fontId="9" fillId="3" borderId="2" xfId="0" applyNumberFormat="1" applyFont="1" applyFill="1" applyBorder="1" applyAlignment="1" applyProtection="1">
      <alignment horizontal="center"/>
      <protection hidden="1"/>
    </xf>
    <xf numFmtId="0" fontId="8" fillId="3" borderId="3" xfId="0" applyFont="1" applyFill="1" applyBorder="1" applyAlignment="1" applyProtection="1">
      <alignment horizontal="left" wrapText="1"/>
      <protection hidden="1"/>
    </xf>
    <xf numFmtId="0" fontId="6" fillId="3" borderId="3" xfId="1" applyNumberFormat="1" applyFont="1" applyFill="1" applyBorder="1" applyAlignment="1" applyProtection="1">
      <alignment wrapText="1"/>
      <protection hidden="1"/>
    </xf>
    <xf numFmtId="164" fontId="6" fillId="3" borderId="3" xfId="1" applyFont="1" applyFill="1" applyBorder="1" applyAlignment="1" applyProtection="1">
      <alignment wrapText="1"/>
      <protection hidden="1"/>
    </xf>
    <xf numFmtId="166" fontId="6" fillId="3" borderId="3" xfId="1" applyNumberFormat="1" applyFont="1" applyFill="1" applyBorder="1" applyAlignment="1" applyProtection="1">
      <alignment wrapText="1"/>
      <protection hidden="1"/>
    </xf>
    <xf numFmtId="164" fontId="9" fillId="3" borderId="3" xfId="1" applyFont="1" applyFill="1" applyBorder="1" applyAlignment="1" applyProtection="1">
      <alignment wrapText="1"/>
      <protection hidden="1"/>
    </xf>
    <xf numFmtId="9" fontId="9" fillId="3" borderId="3" xfId="0" applyNumberFormat="1" applyFont="1" applyFill="1" applyBorder="1" applyAlignment="1" applyProtection="1">
      <alignment wrapText="1"/>
      <protection hidden="1"/>
    </xf>
    <xf numFmtId="0" fontId="9" fillId="3" borderId="3" xfId="0" applyFont="1" applyFill="1" applyBorder="1" applyAlignment="1" applyProtection="1">
      <alignment wrapText="1"/>
      <protection hidden="1"/>
    </xf>
    <xf numFmtId="164" fontId="6" fillId="3" borderId="4" xfId="1" applyFont="1" applyFill="1" applyBorder="1" applyAlignment="1" applyProtection="1">
      <alignment wrapText="1"/>
      <protection hidden="1"/>
    </xf>
    <xf numFmtId="0" fontId="9" fillId="2" borderId="8" xfId="0" applyFont="1" applyFill="1" applyBorder="1" applyAlignment="1" applyProtection="1">
      <alignment horizontal="center"/>
      <protection hidden="1"/>
    </xf>
    <xf numFmtId="0" fontId="8" fillId="2" borderId="17" xfId="0" applyFont="1" applyFill="1" applyBorder="1" applyAlignment="1" applyProtection="1">
      <alignment horizontal="left" wrapText="1"/>
      <protection hidden="1"/>
    </xf>
    <xf numFmtId="0" fontId="6" fillId="2" borderId="20" xfId="1" applyNumberFormat="1" applyFont="1" applyFill="1" applyBorder="1" applyAlignment="1" applyProtection="1">
      <alignment wrapText="1"/>
      <protection hidden="1"/>
    </xf>
    <xf numFmtId="164" fontId="6" fillId="2" borderId="20" xfId="1" applyFont="1" applyFill="1" applyBorder="1" applyAlignment="1" applyProtection="1">
      <alignment wrapText="1"/>
      <protection hidden="1"/>
    </xf>
    <xf numFmtId="166" fontId="6" fillId="2" borderId="20" xfId="1" applyNumberFormat="1" applyFont="1" applyFill="1" applyBorder="1" applyAlignment="1" applyProtection="1">
      <alignment wrapText="1"/>
      <protection hidden="1"/>
    </xf>
    <xf numFmtId="164" fontId="9" fillId="2" borderId="20" xfId="1" applyFont="1" applyFill="1" applyBorder="1" applyAlignment="1" applyProtection="1">
      <alignment wrapText="1"/>
      <protection hidden="1"/>
    </xf>
    <xf numFmtId="9" fontId="9" fillId="6" borderId="20" xfId="0" applyNumberFormat="1" applyFont="1" applyFill="1" applyBorder="1" applyAlignment="1" applyProtection="1">
      <alignment wrapText="1"/>
      <protection hidden="1"/>
    </xf>
    <xf numFmtId="0" fontId="9" fillId="6" borderId="20" xfId="0" applyFont="1" applyFill="1" applyBorder="1" applyAlignment="1" applyProtection="1">
      <alignment wrapText="1"/>
      <protection hidden="1"/>
    </xf>
    <xf numFmtId="164" fontId="6" fillId="6" borderId="20" xfId="1" applyFont="1" applyFill="1" applyBorder="1" applyAlignment="1" applyProtection="1">
      <alignment wrapText="1"/>
      <protection hidden="1"/>
    </xf>
    <xf numFmtId="49" fontId="12" fillId="2" borderId="9" xfId="0" applyNumberFormat="1" applyFont="1" applyFill="1" applyBorder="1" applyAlignment="1" applyProtection="1">
      <alignment horizontal="center"/>
      <protection hidden="1"/>
    </xf>
    <xf numFmtId="0" fontId="13" fillId="2" borderId="18" xfId="0" applyFont="1" applyFill="1" applyBorder="1" applyAlignment="1" applyProtection="1">
      <alignment horizontal="left" wrapText="1"/>
      <protection hidden="1"/>
    </xf>
    <xf numFmtId="0" fontId="6" fillId="2" borderId="21" xfId="1" applyNumberFormat="1" applyFont="1" applyFill="1" applyBorder="1" applyAlignment="1" applyProtection="1">
      <alignment wrapText="1"/>
      <protection hidden="1"/>
    </xf>
    <xf numFmtId="164" fontId="6" fillId="2" borderId="21" xfId="1" applyFont="1" applyFill="1" applyBorder="1" applyAlignment="1" applyProtection="1">
      <alignment wrapText="1"/>
      <protection hidden="1"/>
    </xf>
    <xf numFmtId="166" fontId="9" fillId="2" borderId="21" xfId="1" applyNumberFormat="1" applyFont="1" applyFill="1" applyBorder="1" applyAlignment="1" applyProtection="1">
      <alignment wrapText="1"/>
      <protection hidden="1"/>
    </xf>
    <xf numFmtId="164" fontId="9" fillId="2" borderId="21" xfId="1" applyFont="1" applyFill="1" applyBorder="1" applyAlignment="1" applyProtection="1">
      <alignment wrapText="1"/>
      <protection hidden="1"/>
    </xf>
    <xf numFmtId="166" fontId="12" fillId="2" borderId="21" xfId="1" applyNumberFormat="1" applyFont="1" applyFill="1" applyBorder="1" applyAlignment="1" applyProtection="1">
      <alignment wrapText="1"/>
      <protection hidden="1"/>
    </xf>
    <xf numFmtId="165" fontId="9" fillId="6" borderId="21" xfId="0" applyNumberFormat="1" applyFont="1" applyFill="1" applyBorder="1" applyAlignment="1" applyProtection="1">
      <alignment wrapText="1"/>
      <protection hidden="1"/>
    </xf>
    <xf numFmtId="9" fontId="9" fillId="6" borderId="21" xfId="0" applyNumberFormat="1" applyFont="1" applyFill="1" applyBorder="1" applyAlignment="1" applyProtection="1">
      <alignment wrapText="1"/>
      <protection hidden="1"/>
    </xf>
    <xf numFmtId="0" fontId="9" fillId="6" borderId="21" xfId="0" applyFont="1" applyFill="1" applyBorder="1" applyAlignment="1" applyProtection="1">
      <alignment wrapText="1"/>
      <protection hidden="1"/>
    </xf>
    <xf numFmtId="164" fontId="9" fillId="6" borderId="21" xfId="1" applyFont="1" applyFill="1" applyBorder="1" applyAlignment="1" applyProtection="1">
      <alignment wrapText="1"/>
      <protection hidden="1"/>
    </xf>
    <xf numFmtId="0" fontId="9" fillId="2" borderId="9" xfId="0" quotePrefix="1" applyFont="1" applyFill="1" applyBorder="1" applyAlignment="1" applyProtection="1">
      <alignment horizontal="left"/>
      <protection hidden="1"/>
    </xf>
    <xf numFmtId="0" fontId="9" fillId="2" borderId="18" xfId="0" applyFont="1" applyFill="1" applyBorder="1" applyAlignment="1" applyProtection="1">
      <alignment wrapText="1"/>
      <protection hidden="1"/>
    </xf>
    <xf numFmtId="0" fontId="9" fillId="2" borderId="21" xfId="1" applyNumberFormat="1" applyFont="1" applyFill="1" applyBorder="1" applyAlignment="1" applyProtection="1">
      <alignment wrapText="1"/>
      <protection hidden="1"/>
    </xf>
    <xf numFmtId="164" fontId="9" fillId="6" borderId="21" xfId="0" applyNumberFormat="1" applyFont="1" applyFill="1" applyBorder="1" applyAlignment="1" applyProtection="1">
      <alignment wrapText="1"/>
      <protection hidden="1"/>
    </xf>
    <xf numFmtId="0" fontId="4" fillId="2" borderId="0" xfId="0" applyFont="1" applyFill="1" applyAlignment="1" applyProtection="1">
      <alignment wrapText="1"/>
      <protection hidden="1"/>
    </xf>
    <xf numFmtId="0" fontId="4" fillId="2" borderId="0" xfId="0" applyFont="1" applyFill="1" applyProtection="1">
      <protection hidden="1"/>
    </xf>
    <xf numFmtId="49" fontId="9" fillId="2" borderId="9" xfId="0" applyNumberFormat="1" applyFont="1" applyFill="1" applyBorder="1" applyProtection="1">
      <protection hidden="1"/>
    </xf>
    <xf numFmtId="49" fontId="9" fillId="2" borderId="10" xfId="0" applyNumberFormat="1" applyFont="1" applyFill="1" applyBorder="1" applyProtection="1">
      <protection hidden="1"/>
    </xf>
    <xf numFmtId="0" fontId="14" fillId="2" borderId="19" xfId="0" applyFont="1" applyFill="1" applyBorder="1" applyAlignment="1" applyProtection="1">
      <alignment wrapText="1"/>
      <protection hidden="1"/>
    </xf>
    <xf numFmtId="0" fontId="9" fillId="2" borderId="22" xfId="1" applyNumberFormat="1" applyFont="1" applyFill="1" applyBorder="1" applyAlignment="1" applyProtection="1">
      <alignment wrapText="1"/>
      <protection hidden="1"/>
    </xf>
    <xf numFmtId="164" fontId="9" fillId="2" borderId="22" xfId="1" applyFont="1" applyFill="1" applyBorder="1" applyAlignment="1" applyProtection="1">
      <alignment wrapText="1"/>
      <protection hidden="1"/>
    </xf>
    <xf numFmtId="166" fontId="9" fillId="2" borderId="22" xfId="1" applyNumberFormat="1" applyFont="1" applyFill="1" applyBorder="1" applyAlignment="1" applyProtection="1">
      <alignment wrapText="1"/>
      <protection hidden="1"/>
    </xf>
    <xf numFmtId="164" fontId="9" fillId="6" borderId="22" xfId="0" applyNumberFormat="1" applyFont="1" applyFill="1" applyBorder="1" applyAlignment="1" applyProtection="1">
      <alignment wrapText="1"/>
      <protection hidden="1"/>
    </xf>
    <xf numFmtId="164" fontId="9" fillId="6" borderId="22" xfId="1" applyFont="1" applyFill="1" applyBorder="1" applyAlignment="1" applyProtection="1">
      <alignment wrapText="1"/>
      <protection hidden="1"/>
    </xf>
    <xf numFmtId="49" fontId="9" fillId="2" borderId="8" xfId="0" applyNumberFormat="1" applyFont="1" applyFill="1" applyBorder="1" applyProtection="1">
      <protection hidden="1"/>
    </xf>
    <xf numFmtId="0" fontId="15" fillId="2" borderId="17" xfId="0" applyFont="1" applyFill="1" applyBorder="1" applyAlignment="1" applyProtection="1">
      <alignment wrapText="1"/>
      <protection hidden="1"/>
    </xf>
    <xf numFmtId="0" fontId="9" fillId="2" borderId="20" xfId="1" applyNumberFormat="1" applyFont="1" applyFill="1" applyBorder="1" applyAlignment="1" applyProtection="1">
      <alignment wrapText="1"/>
      <protection hidden="1"/>
    </xf>
    <xf numFmtId="166" fontId="9" fillId="2" borderId="20" xfId="1" applyNumberFormat="1" applyFont="1" applyFill="1" applyBorder="1" applyAlignment="1" applyProtection="1">
      <alignment wrapText="1"/>
      <protection hidden="1"/>
    </xf>
    <xf numFmtId="164" fontId="9" fillId="6" borderId="20" xfId="0" applyNumberFormat="1" applyFont="1" applyFill="1" applyBorder="1" applyAlignment="1" applyProtection="1">
      <alignment wrapText="1"/>
      <protection hidden="1"/>
    </xf>
    <xf numFmtId="164" fontId="9" fillId="6" borderId="20" xfId="1" applyFont="1" applyFill="1" applyBorder="1" applyAlignment="1" applyProtection="1">
      <alignment wrapText="1"/>
      <protection hidden="1"/>
    </xf>
    <xf numFmtId="0" fontId="14" fillId="2" borderId="18" xfId="0" applyFont="1" applyFill="1" applyBorder="1" applyAlignment="1" applyProtection="1">
      <alignment wrapText="1"/>
      <protection hidden="1"/>
    </xf>
    <xf numFmtId="49" fontId="9" fillId="2" borderId="9" xfId="0" applyNumberFormat="1" applyFont="1" applyFill="1" applyBorder="1" applyAlignment="1" applyProtection="1">
      <alignment wrapText="1"/>
      <protection hidden="1"/>
    </xf>
    <xf numFmtId="0" fontId="9" fillId="2" borderId="0" xfId="0" applyFont="1" applyFill="1" applyAlignment="1" applyProtection="1">
      <alignment wrapText="1"/>
      <protection hidden="1"/>
    </xf>
    <xf numFmtId="0" fontId="2" fillId="2" borderId="0" xfId="0" applyFont="1" applyFill="1" applyAlignment="1" applyProtection="1">
      <alignment wrapText="1"/>
      <protection hidden="1"/>
    </xf>
    <xf numFmtId="0" fontId="2" fillId="2" borderId="0" xfId="0" applyFont="1" applyFill="1" applyProtection="1">
      <protection hidden="1"/>
    </xf>
    <xf numFmtId="49" fontId="9" fillId="2" borderId="9" xfId="0" applyNumberFormat="1" applyFont="1" applyFill="1" applyBorder="1" applyAlignment="1" applyProtection="1">
      <alignment horizontal="left"/>
      <protection hidden="1"/>
    </xf>
    <xf numFmtId="0" fontId="9" fillId="2" borderId="9" xfId="0" applyFont="1" applyFill="1" applyBorder="1" applyAlignment="1" applyProtection="1">
      <alignment horizontal="left"/>
      <protection hidden="1"/>
    </xf>
    <xf numFmtId="49" fontId="9" fillId="2" borderId="11" xfId="0" applyNumberFormat="1" applyFont="1" applyFill="1" applyBorder="1" applyAlignment="1" applyProtection="1">
      <alignment wrapText="1"/>
      <protection hidden="1"/>
    </xf>
    <xf numFmtId="0" fontId="9" fillId="2" borderId="23" xfId="0" applyFont="1" applyFill="1" applyBorder="1" applyAlignment="1" applyProtection="1">
      <alignment wrapText="1"/>
      <protection hidden="1"/>
    </xf>
    <xf numFmtId="0" fontId="9" fillId="2" borderId="24" xfId="1" applyNumberFormat="1" applyFont="1" applyFill="1" applyBorder="1" applyAlignment="1" applyProtection="1">
      <alignment wrapText="1"/>
      <protection hidden="1"/>
    </xf>
    <xf numFmtId="49" fontId="16" fillId="2" borderId="11" xfId="0" applyNumberFormat="1" applyFont="1" applyFill="1" applyBorder="1" applyAlignment="1" applyProtection="1">
      <alignment wrapText="1"/>
      <protection hidden="1"/>
    </xf>
    <xf numFmtId="164" fontId="16" fillId="2" borderId="21" xfId="1" applyFont="1" applyFill="1" applyBorder="1" applyAlignment="1" applyProtection="1">
      <alignment wrapText="1"/>
      <protection hidden="1"/>
    </xf>
    <xf numFmtId="166" fontId="16" fillId="2" borderId="21" xfId="1" applyNumberFormat="1" applyFont="1" applyFill="1" applyBorder="1" applyAlignment="1" applyProtection="1">
      <alignment wrapText="1"/>
      <protection hidden="1"/>
    </xf>
    <xf numFmtId="0" fontId="6" fillId="2" borderId="10" xfId="0" applyFont="1" applyFill="1" applyBorder="1" applyProtection="1">
      <protection hidden="1"/>
    </xf>
    <xf numFmtId="0" fontId="6" fillId="2" borderId="19" xfId="0" applyFont="1" applyFill="1" applyBorder="1" applyAlignment="1" applyProtection="1">
      <alignment wrapText="1"/>
      <protection hidden="1"/>
    </xf>
    <xf numFmtId="0" fontId="6" fillId="2" borderId="22" xfId="1" applyNumberFormat="1" applyFont="1" applyFill="1" applyBorder="1" applyAlignment="1" applyProtection="1">
      <alignment wrapText="1"/>
      <protection hidden="1"/>
    </xf>
    <xf numFmtId="0" fontId="6" fillId="6" borderId="22" xfId="0" applyFont="1" applyFill="1" applyBorder="1" applyAlignment="1" applyProtection="1">
      <alignment wrapText="1"/>
      <protection hidden="1"/>
    </xf>
    <xf numFmtId="0" fontId="6" fillId="3" borderId="2" xfId="0" applyFont="1" applyFill="1" applyBorder="1" applyProtection="1">
      <protection hidden="1"/>
    </xf>
    <xf numFmtId="0" fontId="15" fillId="3" borderId="3" xfId="0" applyFont="1" applyFill="1" applyBorder="1" applyAlignment="1" applyProtection="1">
      <alignment wrapText="1"/>
      <protection hidden="1"/>
    </xf>
    <xf numFmtId="0" fontId="6" fillId="3" borderId="3" xfId="0" applyFont="1" applyFill="1" applyBorder="1" applyAlignment="1" applyProtection="1">
      <alignment wrapText="1"/>
      <protection hidden="1"/>
    </xf>
    <xf numFmtId="0" fontId="6" fillId="3" borderId="4" xfId="0" applyFont="1" applyFill="1" applyBorder="1" applyAlignment="1" applyProtection="1">
      <alignment wrapText="1"/>
      <protection hidden="1"/>
    </xf>
    <xf numFmtId="0" fontId="9" fillId="2" borderId="8" xfId="0" applyFont="1" applyFill="1" applyBorder="1" applyProtection="1">
      <protection hidden="1"/>
    </xf>
    <xf numFmtId="0" fontId="9" fillId="2" borderId="17" xfId="0" applyFont="1" applyFill="1" applyBorder="1" applyAlignment="1" applyProtection="1">
      <alignment wrapText="1"/>
      <protection hidden="1"/>
    </xf>
    <xf numFmtId="0" fontId="9" fillId="2" borderId="18" xfId="0" applyFont="1" applyFill="1" applyBorder="1" applyAlignment="1" applyProtection="1">
      <alignment wrapText="1" shrinkToFit="1"/>
      <protection hidden="1"/>
    </xf>
    <xf numFmtId="49" fontId="17" fillId="2" borderId="9" xfId="0" applyNumberFormat="1" applyFont="1" applyFill="1" applyBorder="1" applyAlignment="1" applyProtection="1">
      <alignment wrapText="1"/>
      <protection hidden="1"/>
    </xf>
    <xf numFmtId="0" fontId="17" fillId="2" borderId="9" xfId="0" applyFont="1" applyFill="1" applyBorder="1" applyAlignment="1" applyProtection="1">
      <alignment horizontal="left"/>
      <protection hidden="1"/>
    </xf>
    <xf numFmtId="0" fontId="16" fillId="2" borderId="9" xfId="0" applyFont="1" applyFill="1" applyBorder="1" applyAlignment="1" applyProtection="1">
      <alignment horizontal="left"/>
      <protection hidden="1"/>
    </xf>
    <xf numFmtId="49" fontId="16" fillId="2" borderId="9" xfId="0" applyNumberFormat="1" applyFont="1" applyFill="1" applyBorder="1" applyAlignment="1" applyProtection="1">
      <alignment wrapText="1"/>
      <protection hidden="1"/>
    </xf>
    <xf numFmtId="0" fontId="16" fillId="2" borderId="11" xfId="0" applyFont="1" applyFill="1" applyBorder="1" applyAlignment="1" applyProtection="1">
      <alignment horizontal="left"/>
      <protection hidden="1"/>
    </xf>
    <xf numFmtId="0" fontId="13" fillId="2" borderId="11" xfId="0" applyFont="1" applyFill="1" applyBorder="1" applyProtection="1">
      <protection hidden="1"/>
    </xf>
    <xf numFmtId="0" fontId="6" fillId="2" borderId="23" xfId="0" applyFont="1" applyFill="1" applyBorder="1" applyAlignment="1" applyProtection="1">
      <alignment wrapText="1"/>
      <protection hidden="1"/>
    </xf>
    <xf numFmtId="0" fontId="6" fillId="2" borderId="22" xfId="0" applyFont="1" applyFill="1" applyBorder="1" applyAlignment="1" applyProtection="1">
      <alignment wrapText="1"/>
      <protection hidden="1"/>
    </xf>
    <xf numFmtId="164" fontId="6" fillId="2" borderId="22" xfId="1" applyFont="1" applyFill="1" applyBorder="1" applyAlignment="1" applyProtection="1">
      <alignment wrapText="1"/>
      <protection hidden="1"/>
    </xf>
    <xf numFmtId="166" fontId="6" fillId="2" borderId="22" xfId="1" applyNumberFormat="1" applyFont="1" applyFill="1" applyBorder="1" applyAlignment="1" applyProtection="1">
      <alignment wrapText="1"/>
      <protection hidden="1"/>
    </xf>
    <xf numFmtId="164" fontId="6" fillId="6" borderId="22" xfId="1" applyFont="1" applyFill="1" applyBorder="1" applyAlignment="1" applyProtection="1">
      <alignment wrapText="1"/>
      <protection hidden="1"/>
    </xf>
    <xf numFmtId="0" fontId="6" fillId="2" borderId="12" xfId="0" applyFont="1" applyFill="1" applyBorder="1" applyAlignment="1" applyProtection="1">
      <alignment wrapText="1"/>
      <protection hidden="1"/>
    </xf>
    <xf numFmtId="0" fontId="6" fillId="2" borderId="12" xfId="1" applyNumberFormat="1" applyFont="1" applyFill="1" applyBorder="1" applyAlignment="1" applyProtection="1">
      <alignment wrapText="1"/>
      <protection hidden="1"/>
    </xf>
    <xf numFmtId="164" fontId="6" fillId="2" borderId="12" xfId="1" applyFont="1" applyFill="1" applyBorder="1" applyAlignment="1" applyProtection="1">
      <alignment wrapText="1"/>
      <protection hidden="1"/>
    </xf>
    <xf numFmtId="166" fontId="6" fillId="2" borderId="12" xfId="1" applyNumberFormat="1" applyFont="1" applyFill="1" applyBorder="1" applyAlignment="1" applyProtection="1">
      <alignment wrapText="1"/>
      <protection hidden="1"/>
    </xf>
    <xf numFmtId="166" fontId="6" fillId="2" borderId="13" xfId="1" applyNumberFormat="1" applyFont="1" applyFill="1" applyBorder="1" applyAlignment="1" applyProtection="1">
      <alignment wrapText="1"/>
      <protection hidden="1"/>
    </xf>
    <xf numFmtId="166" fontId="6" fillId="2" borderId="7" xfId="1" applyNumberFormat="1" applyFont="1" applyFill="1" applyBorder="1" applyAlignment="1" applyProtection="1">
      <alignment wrapText="1"/>
      <protection hidden="1"/>
    </xf>
    <xf numFmtId="164" fontId="20" fillId="2" borderId="0" xfId="1" applyFont="1" applyFill="1" applyBorder="1" applyAlignment="1" applyProtection="1">
      <alignment wrapText="1"/>
      <protection hidden="1"/>
    </xf>
    <xf numFmtId="166" fontId="20" fillId="2" borderId="0" xfId="1" applyNumberFormat="1" applyFont="1" applyFill="1" applyBorder="1" applyAlignment="1" applyProtection="1">
      <alignment wrapText="1"/>
      <protection hidden="1"/>
    </xf>
    <xf numFmtId="166" fontId="20" fillId="2" borderId="7" xfId="1" applyNumberFormat="1" applyFont="1" applyFill="1" applyBorder="1" applyAlignment="1" applyProtection="1">
      <alignment wrapText="1"/>
      <protection hidden="1"/>
    </xf>
    <xf numFmtId="0" fontId="10" fillId="4" borderId="14" xfId="0" applyFont="1" applyFill="1" applyBorder="1" applyProtection="1">
      <protection hidden="1"/>
    </xf>
    <xf numFmtId="0" fontId="6" fillId="4" borderId="12" xfId="0" applyFont="1" applyFill="1" applyBorder="1" applyAlignment="1" applyProtection="1">
      <alignment wrapText="1"/>
      <protection hidden="1"/>
    </xf>
    <xf numFmtId="0" fontId="6" fillId="4" borderId="12" xfId="1" applyNumberFormat="1" applyFont="1" applyFill="1" applyBorder="1" applyAlignment="1" applyProtection="1">
      <alignment wrapText="1"/>
      <protection hidden="1"/>
    </xf>
    <xf numFmtId="164" fontId="6" fillId="4" borderId="12" xfId="1" applyFont="1" applyFill="1" applyBorder="1" applyAlignment="1" applyProtection="1">
      <alignment wrapText="1"/>
      <protection hidden="1"/>
    </xf>
    <xf numFmtId="166" fontId="6" fillId="4" borderId="12" xfId="1" applyNumberFormat="1" applyFont="1" applyFill="1" applyBorder="1" applyAlignment="1" applyProtection="1">
      <alignment wrapText="1"/>
      <protection hidden="1"/>
    </xf>
    <xf numFmtId="166" fontId="6" fillId="4" borderId="13" xfId="1" applyNumberFormat="1" applyFont="1" applyFill="1" applyBorder="1" applyAlignment="1" applyProtection="1">
      <alignment wrapText="1"/>
      <protection hidden="1"/>
    </xf>
    <xf numFmtId="0" fontId="21" fillId="4" borderId="7" xfId="0" applyFont="1" applyFill="1" applyBorder="1" applyAlignment="1" applyProtection="1">
      <alignment wrapText="1"/>
      <protection hidden="1"/>
    </xf>
    <xf numFmtId="0" fontId="6" fillId="4" borderId="15" xfId="0" applyFont="1" applyFill="1" applyBorder="1" applyProtection="1">
      <protection hidden="1"/>
    </xf>
    <xf numFmtId="0" fontId="6" fillId="4" borderId="6" xfId="0" applyFont="1" applyFill="1" applyBorder="1" applyAlignment="1" applyProtection="1">
      <alignment wrapText="1"/>
      <protection hidden="1"/>
    </xf>
    <xf numFmtId="0" fontId="6" fillId="4" borderId="6" xfId="1" applyNumberFormat="1" applyFont="1" applyFill="1" applyBorder="1" applyAlignment="1" applyProtection="1">
      <alignment wrapText="1"/>
      <protection hidden="1"/>
    </xf>
    <xf numFmtId="164" fontId="6" fillId="4" borderId="6" xfId="1" applyFont="1" applyFill="1" applyBorder="1" applyAlignment="1" applyProtection="1">
      <alignment wrapText="1"/>
      <protection hidden="1"/>
    </xf>
    <xf numFmtId="166" fontId="6" fillId="4" borderId="6" xfId="1" applyNumberFormat="1" applyFont="1" applyFill="1" applyBorder="1" applyAlignment="1" applyProtection="1">
      <alignment wrapText="1"/>
      <protection hidden="1"/>
    </xf>
    <xf numFmtId="166" fontId="6" fillId="4" borderId="16" xfId="1" applyNumberFormat="1" applyFont="1" applyFill="1" applyBorder="1" applyAlignment="1" applyProtection="1">
      <alignment wrapText="1"/>
      <protection hidden="1"/>
    </xf>
    <xf numFmtId="0" fontId="6" fillId="2" borderId="0" xfId="1" applyNumberFormat="1" applyFont="1" applyFill="1" applyBorder="1" applyAlignment="1" applyProtection="1">
      <alignment wrapText="1"/>
      <protection hidden="1"/>
    </xf>
    <xf numFmtId="166" fontId="9" fillId="6" borderId="22" xfId="1" applyNumberFormat="1" applyFont="1" applyFill="1" applyBorder="1" applyAlignment="1" applyProtection="1">
      <alignment wrapText="1"/>
      <protection hidden="1"/>
    </xf>
    <xf numFmtId="166" fontId="9" fillId="0" borderId="21" xfId="1" applyNumberFormat="1" applyFont="1" applyFill="1" applyBorder="1" applyAlignment="1" applyProtection="1">
      <alignment wrapText="1"/>
      <protection hidden="1"/>
    </xf>
    <xf numFmtId="164" fontId="9" fillId="0" borderId="21" xfId="1" applyFont="1" applyFill="1" applyBorder="1" applyAlignment="1" applyProtection="1">
      <alignment wrapText="1"/>
      <protection hidden="1"/>
    </xf>
    <xf numFmtId="49" fontId="23" fillId="2" borderId="9" xfId="0" applyNumberFormat="1" applyFont="1" applyFill="1" applyBorder="1" applyProtection="1">
      <protection hidden="1"/>
    </xf>
    <xf numFmtId="0" fontId="23" fillId="2" borderId="18" xfId="0" applyFont="1" applyFill="1" applyBorder="1" applyAlignment="1" applyProtection="1">
      <alignment wrapText="1"/>
      <protection hidden="1"/>
    </xf>
    <xf numFmtId="0" fontId="23" fillId="2" borderId="21" xfId="1" applyNumberFormat="1" applyFont="1" applyFill="1" applyBorder="1" applyAlignment="1" applyProtection="1">
      <alignment wrapText="1"/>
      <protection hidden="1"/>
    </xf>
    <xf numFmtId="164" fontId="23" fillId="2" borderId="21" xfId="1" applyFont="1" applyFill="1" applyBorder="1" applyAlignment="1" applyProtection="1">
      <alignment wrapText="1"/>
      <protection hidden="1"/>
    </xf>
    <xf numFmtId="166" fontId="23" fillId="2" borderId="21" xfId="1" applyNumberFormat="1" applyFont="1" applyFill="1" applyBorder="1" applyAlignment="1" applyProtection="1">
      <alignment wrapText="1"/>
      <protection hidden="1"/>
    </xf>
    <xf numFmtId="164" fontId="23" fillId="0" borderId="21" xfId="1" applyFont="1" applyFill="1" applyBorder="1" applyAlignment="1" applyProtection="1">
      <alignment wrapText="1"/>
      <protection hidden="1"/>
    </xf>
    <xf numFmtId="164" fontId="23" fillId="6" borderId="21" xfId="0" applyNumberFormat="1" applyFont="1" applyFill="1" applyBorder="1" applyAlignment="1" applyProtection="1">
      <alignment wrapText="1"/>
      <protection hidden="1"/>
    </xf>
    <xf numFmtId="164" fontId="23" fillId="6" borderId="21" xfId="1" applyFont="1" applyFill="1" applyBorder="1" applyAlignment="1" applyProtection="1">
      <alignment wrapText="1"/>
      <protection hidden="1"/>
    </xf>
    <xf numFmtId="0" fontId="24" fillId="2" borderId="0" xfId="0" applyFont="1" applyFill="1" applyAlignment="1" applyProtection="1">
      <alignment wrapText="1"/>
      <protection hidden="1"/>
    </xf>
    <xf numFmtId="0" fontId="25" fillId="2" borderId="0" xfId="0" applyFont="1" applyFill="1" applyAlignment="1" applyProtection="1">
      <alignment wrapText="1"/>
      <protection hidden="1"/>
    </xf>
    <xf numFmtId="0" fontId="25" fillId="2" borderId="0" xfId="0" applyFont="1" applyFill="1" applyProtection="1">
      <protection hidden="1"/>
    </xf>
    <xf numFmtId="166" fontId="23" fillId="0" borderId="21" xfId="1" applyNumberFormat="1" applyFont="1" applyFill="1" applyBorder="1" applyAlignment="1" applyProtection="1">
      <alignment wrapText="1"/>
      <protection hidden="1"/>
    </xf>
    <xf numFmtId="164" fontId="9" fillId="6" borderId="25" xfId="0" applyNumberFormat="1" applyFont="1" applyFill="1" applyBorder="1" applyAlignment="1" applyProtection="1">
      <alignment wrapText="1"/>
      <protection hidden="1"/>
    </xf>
    <xf numFmtId="164" fontId="9" fillId="6" borderId="24" xfId="0" applyNumberFormat="1" applyFont="1" applyFill="1" applyBorder="1" applyAlignment="1" applyProtection="1">
      <alignment wrapText="1"/>
      <protection hidden="1"/>
    </xf>
    <xf numFmtId="164" fontId="9" fillId="5" borderId="1" xfId="1" applyFont="1" applyFill="1" applyBorder="1" applyAlignment="1" applyProtection="1">
      <alignment wrapText="1"/>
      <protection hidden="1"/>
    </xf>
    <xf numFmtId="164" fontId="10" fillId="4" borderId="26" xfId="1" applyFont="1" applyFill="1" applyBorder="1" applyAlignment="1" applyProtection="1">
      <alignment horizontal="center" wrapText="1"/>
      <protection hidden="1"/>
    </xf>
    <xf numFmtId="166" fontId="10" fillId="4" borderId="26" xfId="1" applyNumberFormat="1" applyFont="1" applyFill="1" applyBorder="1" applyAlignment="1" applyProtection="1">
      <alignment horizontal="center" wrapText="1"/>
      <protection hidden="1"/>
    </xf>
    <xf numFmtId="0" fontId="22" fillId="3" borderId="15" xfId="0" applyFont="1" applyFill="1" applyBorder="1" applyAlignment="1" applyProtection="1">
      <alignment horizontal="center"/>
      <protection hidden="1"/>
    </xf>
    <xf numFmtId="0" fontId="22" fillId="3" borderId="6" xfId="0" applyFont="1" applyFill="1" applyBorder="1" applyAlignment="1" applyProtection="1">
      <alignment horizontal="center" wrapText="1"/>
      <protection hidden="1"/>
    </xf>
    <xf numFmtId="0" fontId="22" fillId="3" borderId="15" xfId="0" applyFont="1" applyFill="1" applyBorder="1" applyProtection="1">
      <protection hidden="1"/>
    </xf>
    <xf numFmtId="0" fontId="22" fillId="3" borderId="6" xfId="0" applyFont="1" applyFill="1" applyBorder="1" applyProtection="1">
      <protection hidden="1"/>
    </xf>
    <xf numFmtId="0" fontId="22" fillId="3" borderId="16" xfId="0" applyFont="1" applyFill="1" applyBorder="1" applyProtection="1">
      <protection hidden="1"/>
    </xf>
    <xf numFmtId="0" fontId="6" fillId="2" borderId="15" xfId="0" applyFont="1" applyFill="1" applyBorder="1" applyProtection="1">
      <protection hidden="1"/>
    </xf>
    <xf numFmtId="0" fontId="7" fillId="2" borderId="6" xfId="0" applyFont="1" applyFill="1" applyBorder="1" applyAlignment="1" applyProtection="1">
      <alignment wrapText="1"/>
      <protection hidden="1"/>
    </xf>
    <xf numFmtId="0" fontId="7" fillId="2" borderId="6" xfId="1" applyNumberFormat="1" applyFont="1" applyFill="1" applyBorder="1" applyAlignment="1" applyProtection="1">
      <alignment wrapText="1"/>
      <protection hidden="1"/>
    </xf>
    <xf numFmtId="164" fontId="6" fillId="2" borderId="6" xfId="1" applyFont="1" applyFill="1" applyBorder="1" applyAlignment="1" applyProtection="1">
      <alignment wrapText="1"/>
      <protection hidden="1"/>
    </xf>
    <xf numFmtId="166" fontId="6" fillId="2" borderId="6" xfId="1" applyNumberFormat="1" applyFont="1" applyFill="1" applyBorder="1" applyAlignment="1" applyProtection="1">
      <alignment wrapText="1"/>
      <protection hidden="1"/>
    </xf>
    <xf numFmtId="0" fontId="6" fillId="2" borderId="6" xfId="0" applyFont="1" applyFill="1" applyBorder="1" applyAlignment="1" applyProtection="1">
      <alignment wrapText="1"/>
      <protection hidden="1"/>
    </xf>
    <xf numFmtId="166" fontId="6" fillId="2" borderId="16" xfId="1" applyNumberFormat="1" applyFont="1" applyFill="1" applyBorder="1" applyAlignment="1" applyProtection="1">
      <alignment wrapText="1"/>
      <protection hidden="1"/>
    </xf>
    <xf numFmtId="166" fontId="9" fillId="3" borderId="3" xfId="1" applyNumberFormat="1" applyFont="1" applyFill="1" applyBorder="1" applyAlignment="1" applyProtection="1">
      <alignment wrapText="1"/>
      <protection hidden="1"/>
    </xf>
    <xf numFmtId="166" fontId="16" fillId="0" borderId="21" xfId="1" applyNumberFormat="1" applyFont="1" applyFill="1" applyBorder="1" applyAlignment="1" applyProtection="1">
      <alignment wrapText="1"/>
      <protection hidden="1"/>
    </xf>
    <xf numFmtId="164" fontId="21" fillId="2" borderId="0" xfId="1" applyFont="1" applyFill="1" applyBorder="1" applyAlignment="1" applyProtection="1">
      <alignment wrapText="1"/>
      <protection hidden="1"/>
    </xf>
    <xf numFmtId="0" fontId="21" fillId="2" borderId="7" xfId="0" applyFont="1" applyFill="1" applyBorder="1" applyAlignment="1" applyProtection="1">
      <alignment wrapText="1"/>
      <protection hidden="1"/>
    </xf>
    <xf numFmtId="0" fontId="21" fillId="2" borderId="5" xfId="0" applyFont="1" applyFill="1" applyBorder="1" applyAlignment="1" applyProtection="1">
      <alignment horizontal="left"/>
      <protection hidden="1"/>
    </xf>
    <xf numFmtId="164" fontId="21" fillId="4" borderId="0" xfId="1" applyFont="1" applyFill="1" applyBorder="1" applyAlignment="1" applyProtection="1">
      <alignment wrapText="1"/>
      <protection hidden="1"/>
    </xf>
    <xf numFmtId="164" fontId="24" fillId="2" borderId="0" xfId="1" applyFont="1" applyFill="1" applyBorder="1" applyAlignment="1" applyProtection="1">
      <alignment wrapText="1"/>
      <protection hidden="1"/>
    </xf>
    <xf numFmtId="166" fontId="24" fillId="2" borderId="0" xfId="1" applyNumberFormat="1" applyFont="1" applyFill="1" applyBorder="1" applyAlignment="1" applyProtection="1">
      <alignment wrapText="1"/>
      <protection hidden="1"/>
    </xf>
    <xf numFmtId="166" fontId="24" fillId="2" borderId="7" xfId="1" applyNumberFormat="1" applyFont="1" applyFill="1" applyBorder="1" applyAlignment="1" applyProtection="1">
      <alignment wrapText="1"/>
      <protection hidden="1"/>
    </xf>
    <xf numFmtId="166" fontId="28" fillId="2" borderId="21" xfId="1" applyNumberFormat="1" applyFont="1" applyFill="1" applyBorder="1" applyAlignment="1" applyProtection="1">
      <alignment wrapText="1"/>
      <protection hidden="1"/>
    </xf>
    <xf numFmtId="0" fontId="28" fillId="2" borderId="21" xfId="1" applyNumberFormat="1" applyFont="1" applyFill="1" applyBorder="1" applyAlignment="1" applyProtection="1">
      <alignment wrapText="1"/>
      <protection hidden="1"/>
    </xf>
    <xf numFmtId="164" fontId="30" fillId="2" borderId="21" xfId="1" applyFont="1" applyFill="1" applyBorder="1" applyAlignment="1" applyProtection="1">
      <alignment wrapText="1"/>
      <protection hidden="1"/>
    </xf>
    <xf numFmtId="164" fontId="5" fillId="3" borderId="3" xfId="1" applyFont="1" applyFill="1" applyBorder="1" applyAlignment="1" applyProtection="1">
      <protection hidden="1"/>
    </xf>
    <xf numFmtId="164" fontId="22" fillId="3" borderId="6" xfId="1" applyFont="1" applyFill="1" applyBorder="1" applyAlignment="1" applyProtection="1">
      <protection hidden="1"/>
    </xf>
    <xf numFmtId="164" fontId="30" fillId="0" borderId="21" xfId="1" applyFont="1" applyFill="1" applyBorder="1" applyAlignment="1" applyProtection="1">
      <alignment wrapText="1"/>
      <protection hidden="1"/>
    </xf>
    <xf numFmtId="166" fontId="21" fillId="2" borderId="0" xfId="1" applyNumberFormat="1" applyFont="1" applyFill="1" applyBorder="1" applyAlignment="1" applyProtection="1">
      <alignment wrapText="1"/>
      <protection hidden="1"/>
    </xf>
    <xf numFmtId="166" fontId="21" fillId="4" borderId="0" xfId="1" applyNumberFormat="1" applyFont="1" applyFill="1" applyBorder="1" applyAlignment="1" applyProtection="1">
      <alignment wrapText="1"/>
      <protection hidden="1"/>
    </xf>
    <xf numFmtId="164" fontId="35" fillId="2" borderId="21" xfId="1" applyFont="1" applyFill="1" applyBorder="1" applyAlignment="1" applyProtection="1">
      <alignment wrapText="1"/>
      <protection hidden="1"/>
    </xf>
    <xf numFmtId="166" fontId="36" fillId="0" borderId="21" xfId="1" applyNumberFormat="1" applyFont="1" applyFill="1" applyBorder="1" applyAlignment="1" applyProtection="1">
      <alignment wrapText="1"/>
      <protection hidden="1"/>
    </xf>
    <xf numFmtId="0" fontId="26" fillId="7" borderId="1" xfId="0" applyFont="1" applyFill="1" applyBorder="1" applyProtection="1">
      <protection hidden="1"/>
    </xf>
    <xf numFmtId="0" fontId="26" fillId="7" borderId="1" xfId="0" applyFont="1" applyFill="1" applyBorder="1" applyAlignment="1" applyProtection="1">
      <alignment horizontal="center"/>
      <protection hidden="1"/>
    </xf>
    <xf numFmtId="166" fontId="31" fillId="7" borderId="1" xfId="1" applyNumberFormat="1" applyFont="1" applyFill="1" applyBorder="1" applyAlignment="1" applyProtection="1">
      <alignment horizontal="center"/>
      <protection hidden="1"/>
    </xf>
    <xf numFmtId="166" fontId="31" fillId="7" borderId="1" xfId="1" applyNumberFormat="1" applyFont="1" applyFill="1" applyBorder="1" applyProtection="1">
      <protection hidden="1"/>
    </xf>
    <xf numFmtId="166" fontId="31" fillId="7" borderId="1" xfId="1" applyNumberFormat="1" applyFont="1" applyFill="1" applyBorder="1" applyAlignment="1" applyProtection="1">
      <alignment horizontal="center" wrapText="1"/>
      <protection hidden="1"/>
    </xf>
    <xf numFmtId="166" fontId="31" fillId="0" borderId="1" xfId="1" applyNumberFormat="1" applyFont="1" applyFill="1" applyBorder="1" applyAlignment="1" applyProtection="1">
      <alignment horizontal="center"/>
      <protection hidden="1"/>
    </xf>
    <xf numFmtId="166" fontId="31" fillId="0" borderId="1" xfId="1" applyNumberFormat="1" applyFont="1" applyFill="1" applyBorder="1" applyProtection="1">
      <protection hidden="1"/>
    </xf>
    <xf numFmtId="166" fontId="31" fillId="0" borderId="1" xfId="1" applyNumberFormat="1" applyFont="1" applyFill="1" applyBorder="1" applyAlignment="1" applyProtection="1">
      <alignment horizontal="center" wrapText="1"/>
      <protection hidden="1"/>
    </xf>
    <xf numFmtId="0" fontId="26" fillId="7" borderId="1" xfId="0" applyFont="1" applyFill="1" applyBorder="1" applyAlignment="1" applyProtection="1">
      <alignment wrapText="1"/>
      <protection hidden="1"/>
    </xf>
    <xf numFmtId="0" fontId="31" fillId="7" borderId="1" xfId="0" applyFont="1" applyFill="1" applyBorder="1" applyAlignment="1" applyProtection="1">
      <alignment horizontal="center"/>
      <protection hidden="1"/>
    </xf>
    <xf numFmtId="166" fontId="32" fillId="7" borderId="1" xfId="1" applyNumberFormat="1" applyFont="1" applyFill="1" applyBorder="1" applyProtection="1">
      <protection hidden="1"/>
    </xf>
    <xf numFmtId="166" fontId="32" fillId="0" borderId="1" xfId="1" applyNumberFormat="1" applyFont="1" applyFill="1" applyBorder="1" applyProtection="1">
      <protection hidden="1"/>
    </xf>
    <xf numFmtId="166" fontId="31" fillId="0" borderId="0" xfId="1" applyNumberFormat="1" applyFont="1" applyFill="1" applyAlignment="1" applyProtection="1">
      <alignment horizontal="center"/>
      <protection hidden="1"/>
    </xf>
    <xf numFmtId="0" fontId="26" fillId="8" borderId="1" xfId="0" applyFont="1" applyFill="1" applyBorder="1" applyProtection="1">
      <protection hidden="1"/>
    </xf>
    <xf numFmtId="0" fontId="26" fillId="8" borderId="1" xfId="0" applyFont="1" applyFill="1" applyBorder="1" applyAlignment="1" applyProtection="1">
      <alignment horizontal="center"/>
      <protection hidden="1"/>
    </xf>
    <xf numFmtId="0" fontId="31" fillId="8" borderId="1" xfId="0" applyFont="1" applyFill="1" applyBorder="1" applyAlignment="1" applyProtection="1">
      <alignment horizontal="center"/>
      <protection hidden="1"/>
    </xf>
    <xf numFmtId="166" fontId="32" fillId="8" borderId="1" xfId="1" applyNumberFormat="1" applyFont="1" applyFill="1" applyBorder="1" applyProtection="1">
      <protection hidden="1"/>
    </xf>
    <xf numFmtId="0" fontId="26" fillId="8" borderId="0" xfId="0" applyFont="1" applyFill="1" applyProtection="1">
      <protection hidden="1"/>
    </xf>
    <xf numFmtId="0" fontId="26" fillId="8" borderId="0" xfId="0" applyFont="1" applyFill="1" applyAlignment="1" applyProtection="1">
      <alignment horizontal="center"/>
      <protection hidden="1"/>
    </xf>
    <xf numFmtId="0" fontId="31" fillId="8" borderId="0" xfId="0" applyFont="1" applyFill="1" applyAlignment="1" applyProtection="1">
      <alignment horizontal="center"/>
      <protection hidden="1"/>
    </xf>
    <xf numFmtId="166" fontId="31" fillId="8" borderId="0" xfId="1" applyNumberFormat="1" applyFont="1" applyFill="1" applyAlignment="1" applyProtection="1">
      <alignment horizontal="center"/>
      <protection hidden="1"/>
    </xf>
    <xf numFmtId="0" fontId="26" fillId="0" borderId="0" xfId="0" applyFont="1" applyProtection="1">
      <protection hidden="1"/>
    </xf>
    <xf numFmtId="0" fontId="26" fillId="0" borderId="0" xfId="0" applyFont="1" applyAlignment="1" applyProtection="1">
      <alignment wrapText="1"/>
      <protection hidden="1"/>
    </xf>
    <xf numFmtId="0" fontId="31" fillId="0" borderId="0" xfId="0" applyFont="1" applyProtection="1">
      <protection hidden="1"/>
    </xf>
    <xf numFmtId="0" fontId="26" fillId="0" borderId="1" xfId="0" applyFont="1" applyBorder="1" applyProtection="1">
      <protection hidden="1"/>
    </xf>
    <xf numFmtId="0" fontId="26" fillId="0" borderId="1" xfId="0" applyFont="1" applyBorder="1" applyAlignment="1" applyProtection="1">
      <alignment horizontal="center"/>
      <protection hidden="1"/>
    </xf>
    <xf numFmtId="0" fontId="26" fillId="0" borderId="1" xfId="0" applyFont="1" applyBorder="1" applyAlignment="1" applyProtection="1">
      <alignment wrapText="1"/>
      <protection hidden="1"/>
    </xf>
    <xf numFmtId="166" fontId="32" fillId="7" borderId="1" xfId="1" applyNumberFormat="1" applyFont="1" applyFill="1" applyBorder="1" applyAlignment="1" applyProtection="1">
      <alignment wrapText="1"/>
      <protection hidden="1"/>
    </xf>
    <xf numFmtId="0" fontId="31" fillId="0" borderId="1" xfId="0" applyFont="1" applyBorder="1" applyAlignment="1" applyProtection="1">
      <alignment horizontal="center"/>
      <protection hidden="1"/>
    </xf>
    <xf numFmtId="166" fontId="33" fillId="9" borderId="1" xfId="1" applyNumberFormat="1" applyFont="1" applyFill="1" applyBorder="1" applyAlignment="1" applyProtection="1">
      <alignment wrapText="1"/>
      <protection hidden="1"/>
    </xf>
    <xf numFmtId="166" fontId="31" fillId="8" borderId="1" xfId="1" applyNumberFormat="1" applyFont="1" applyFill="1" applyBorder="1" applyProtection="1">
      <protection hidden="1"/>
    </xf>
    <xf numFmtId="166" fontId="32" fillId="8" borderId="1" xfId="1" applyNumberFormat="1" applyFont="1" applyFill="1" applyBorder="1" applyAlignment="1" applyProtection="1">
      <alignment wrapText="1"/>
      <protection hidden="1"/>
    </xf>
    <xf numFmtId="166" fontId="31" fillId="8" borderId="0" xfId="1" applyNumberFormat="1" applyFont="1" applyFill="1" applyProtection="1">
      <protection hidden="1"/>
    </xf>
    <xf numFmtId="166" fontId="31" fillId="8" borderId="0" xfId="1" applyNumberFormat="1" applyFont="1" applyFill="1" applyAlignment="1" applyProtection="1">
      <alignment horizontal="center" wrapText="1"/>
      <protection hidden="1"/>
    </xf>
    <xf numFmtId="0" fontId="26" fillId="0" borderId="0" xfId="0" applyFont="1" applyAlignment="1" applyProtection="1">
      <alignment horizontal="center"/>
      <protection hidden="1"/>
    </xf>
    <xf numFmtId="0" fontId="31" fillId="0" borderId="0" xfId="0" applyFont="1" applyAlignment="1" applyProtection="1">
      <alignment horizontal="center"/>
      <protection hidden="1"/>
    </xf>
    <xf numFmtId="166" fontId="31" fillId="0" borderId="0" xfId="1" applyNumberFormat="1" applyFont="1" applyFill="1" applyProtection="1">
      <protection hidden="1"/>
    </xf>
    <xf numFmtId="166" fontId="31" fillId="0" borderId="0" xfId="1" applyNumberFormat="1" applyFont="1" applyFill="1" applyAlignment="1" applyProtection="1">
      <alignment horizontal="center" wrapText="1"/>
      <protection hidden="1"/>
    </xf>
    <xf numFmtId="0" fontId="18" fillId="2" borderId="14" xfId="0" applyFont="1" applyFill="1" applyBorder="1" applyProtection="1">
      <protection hidden="1"/>
    </xf>
    <xf numFmtId="0" fontId="21" fillId="2" borderId="5" xfId="0" applyFont="1" applyFill="1" applyBorder="1" applyProtection="1">
      <protection hidden="1"/>
    </xf>
    <xf numFmtId="0" fontId="21" fillId="2" borderId="0" xfId="0" applyFont="1" applyFill="1" applyProtection="1">
      <protection hidden="1"/>
    </xf>
    <xf numFmtId="0" fontId="21" fillId="2" borderId="0" xfId="0" applyFont="1" applyFill="1" applyAlignment="1" applyProtection="1">
      <alignment wrapText="1"/>
      <protection hidden="1"/>
    </xf>
    <xf numFmtId="0" fontId="21" fillId="2" borderId="0" xfId="0" applyFont="1" applyFill="1" applyAlignment="1" applyProtection="1">
      <alignment horizontal="left" wrapText="1"/>
      <protection hidden="1"/>
    </xf>
    <xf numFmtId="0" fontId="37" fillId="2" borderId="5" xfId="0" applyFont="1" applyFill="1" applyBorder="1" applyProtection="1">
      <protection hidden="1"/>
    </xf>
    <xf numFmtId="0" fontId="19" fillId="2" borderId="5" xfId="0" applyFont="1" applyFill="1" applyBorder="1" applyProtection="1">
      <protection hidden="1"/>
    </xf>
    <xf numFmtId="0" fontId="20" fillId="2" borderId="0" xfId="0" applyFont="1" applyFill="1" applyAlignment="1" applyProtection="1">
      <alignment wrapText="1"/>
      <protection hidden="1"/>
    </xf>
    <xf numFmtId="0" fontId="27" fillId="2" borderId="5" xfId="0" applyFont="1" applyFill="1" applyBorder="1" applyProtection="1">
      <protection hidden="1"/>
    </xf>
    <xf numFmtId="0" fontId="34" fillId="2" borderId="5" xfId="0" applyFont="1" applyFill="1" applyBorder="1" applyProtection="1">
      <protection hidden="1"/>
    </xf>
    <xf numFmtId="0" fontId="29" fillId="2" borderId="5" xfId="0" applyFont="1" applyFill="1" applyBorder="1" applyProtection="1">
      <protection hidden="1"/>
    </xf>
    <xf numFmtId="0" fontId="21" fillId="4" borderId="5" xfId="0" applyFont="1" applyFill="1" applyBorder="1" applyProtection="1">
      <protection hidden="1"/>
    </xf>
    <xf numFmtId="0" fontId="21" fillId="4" borderId="0" xfId="0" applyFont="1" applyFill="1" applyAlignment="1" applyProtection="1">
      <alignment wrapText="1"/>
      <protection hidden="1"/>
    </xf>
    <xf numFmtId="164" fontId="21" fillId="4" borderId="0" xfId="0" applyNumberFormat="1" applyFont="1" applyFill="1" applyAlignment="1" applyProtection="1">
      <alignment wrapText="1"/>
      <protection hidden="1"/>
    </xf>
    <xf numFmtId="0" fontId="41" fillId="2" borderId="18" xfId="0" applyFont="1" applyFill="1" applyBorder="1" applyAlignment="1" applyProtection="1">
      <alignment wrapText="1"/>
      <protection hidden="1"/>
    </xf>
    <xf numFmtId="0" fontId="9" fillId="2" borderId="21" xfId="1" applyNumberFormat="1" applyFont="1" applyFill="1" applyBorder="1" applyProtection="1">
      <protection hidden="1"/>
    </xf>
    <xf numFmtId="49" fontId="14" fillId="2" borderId="9" xfId="0" applyNumberFormat="1" applyFont="1" applyFill="1" applyBorder="1" applyProtection="1">
      <protection hidden="1"/>
    </xf>
    <xf numFmtId="0" fontId="9" fillId="2" borderId="18" xfId="0" applyFont="1" applyFill="1" applyBorder="1" applyProtection="1">
      <protection hidden="1"/>
    </xf>
    <xf numFmtId="49" fontId="42" fillId="2" borderId="9" xfId="0" applyNumberFormat="1" applyFont="1" applyFill="1" applyBorder="1" applyProtection="1">
      <protection hidden="1"/>
    </xf>
    <xf numFmtId="0" fontId="42" fillId="2" borderId="18" xfId="0" applyFont="1" applyFill="1" applyBorder="1" applyAlignment="1" applyProtection="1">
      <alignment horizontal="left" wrapText="1"/>
      <protection hidden="1"/>
    </xf>
    <xf numFmtId="0" fontId="42" fillId="2" borderId="21" xfId="1" applyNumberFormat="1" applyFont="1" applyFill="1" applyBorder="1" applyProtection="1">
      <protection hidden="1"/>
    </xf>
    <xf numFmtId="0" fontId="9" fillId="2" borderId="18" xfId="0" applyFont="1" applyFill="1" applyBorder="1" applyAlignment="1" applyProtection="1">
      <alignment horizontal="left" wrapText="1"/>
      <protection hidden="1"/>
    </xf>
    <xf numFmtId="167" fontId="31" fillId="0" borderId="1" xfId="1" applyNumberFormat="1" applyFont="1" applyBorder="1" applyAlignment="1" applyProtection="1">
      <alignment horizontal="center"/>
      <protection hidden="1"/>
    </xf>
    <xf numFmtId="164" fontId="42" fillId="2" borderId="21" xfId="1" applyFont="1" applyFill="1" applyBorder="1" applyAlignment="1" applyProtection="1">
      <alignment wrapText="1"/>
      <protection hidden="1"/>
    </xf>
    <xf numFmtId="0" fontId="43" fillId="2" borderId="5" xfId="0" applyFont="1" applyFill="1" applyBorder="1" applyProtection="1">
      <protection hidden="1"/>
    </xf>
    <xf numFmtId="0" fontId="44" fillId="0" borderId="0" xfId="0" applyFont="1"/>
    <xf numFmtId="0" fontId="45" fillId="2" borderId="0" xfId="0" applyFont="1" applyFill="1"/>
    <xf numFmtId="0" fontId="44" fillId="2" borderId="0" xfId="0" applyFont="1" applyFill="1" applyAlignment="1">
      <alignment vertical="center"/>
    </xf>
    <xf numFmtId="0" fontId="45" fillId="0" borderId="0" xfId="0" applyFont="1"/>
    <xf numFmtId="0" fontId="46" fillId="0" borderId="0" xfId="0" applyFont="1"/>
    <xf numFmtId="0" fontId="24" fillId="2" borderId="0" xfId="0" applyFont="1" applyFill="1" applyProtection="1">
      <protection hidden="1"/>
    </xf>
    <xf numFmtId="0" fontId="45" fillId="0" borderId="0" xfId="0" applyFont="1" applyAlignment="1">
      <alignment vertical="center"/>
    </xf>
    <xf numFmtId="0" fontId="47" fillId="2" borderId="5" xfId="0" applyFont="1" applyFill="1" applyBorder="1" applyProtection="1">
      <protection hidden="1"/>
    </xf>
    <xf numFmtId="0" fontId="48" fillId="2" borderId="0" xfId="0" applyFont="1" applyFill="1" applyAlignment="1" applyProtection="1">
      <alignment wrapText="1"/>
      <protection hidden="1"/>
    </xf>
    <xf numFmtId="164" fontId="48" fillId="2" borderId="0" xfId="1" applyFont="1" applyFill="1" applyBorder="1" applyAlignment="1" applyProtection="1">
      <alignment wrapText="1"/>
      <protection hidden="1"/>
    </xf>
    <xf numFmtId="166" fontId="48" fillId="2" borderId="0" xfId="1" applyNumberFormat="1" applyFont="1" applyFill="1" applyBorder="1" applyAlignment="1" applyProtection="1">
      <alignment wrapText="1"/>
      <protection hidden="1"/>
    </xf>
    <xf numFmtId="166" fontId="48" fillId="2" borderId="7" xfId="1" applyNumberFormat="1" applyFont="1" applyFill="1" applyBorder="1" applyAlignment="1" applyProtection="1">
      <alignment wrapText="1"/>
      <protection hidden="1"/>
    </xf>
    <xf numFmtId="0" fontId="48" fillId="2" borderId="0" xfId="0" applyFont="1" applyFill="1" applyProtection="1">
      <protection hidden="1"/>
    </xf>
    <xf numFmtId="0" fontId="49" fillId="2" borderId="5" xfId="0" applyFont="1" applyFill="1" applyBorder="1" applyProtection="1">
      <protection hidden="1"/>
    </xf>
    <xf numFmtId="0" fontId="20" fillId="2" borderId="0" xfId="0" applyFont="1" applyFill="1" applyProtection="1">
      <protection hidden="1"/>
    </xf>
    <xf numFmtId="49" fontId="28" fillId="10" borderId="5" xfId="0" applyNumberFormat="1" applyFont="1" applyFill="1" applyBorder="1" applyProtection="1">
      <protection hidden="1"/>
    </xf>
    <xf numFmtId="0" fontId="50" fillId="10" borderId="0" xfId="0" applyFont="1" applyFill="1" applyProtection="1">
      <protection hidden="1"/>
    </xf>
    <xf numFmtId="166" fontId="50" fillId="10" borderId="0" xfId="1" applyNumberFormat="1" applyFont="1" applyFill="1" applyBorder="1" applyProtection="1">
      <protection hidden="1"/>
    </xf>
    <xf numFmtId="164" fontId="50" fillId="10" borderId="0" xfId="1" applyFont="1" applyFill="1" applyBorder="1" applyProtection="1">
      <protection hidden="1"/>
    </xf>
    <xf numFmtId="166" fontId="28" fillId="10" borderId="0" xfId="1" applyNumberFormat="1" applyFont="1" applyFill="1" applyBorder="1" applyProtection="1">
      <protection hidden="1"/>
    </xf>
    <xf numFmtId="165" fontId="50" fillId="10" borderId="0" xfId="0" applyNumberFormat="1" applyFont="1" applyFill="1" applyProtection="1">
      <protection hidden="1"/>
    </xf>
    <xf numFmtId="166" fontId="50" fillId="10" borderId="0" xfId="0" applyNumberFormat="1" applyFont="1" applyFill="1" applyProtection="1">
      <protection hidden="1"/>
    </xf>
    <xf numFmtId="164" fontId="28" fillId="10" borderId="0" xfId="1" applyFont="1" applyFill="1" applyBorder="1" applyProtection="1">
      <protection hidden="1"/>
    </xf>
    <xf numFmtId="166" fontId="28" fillId="10" borderId="7" xfId="1" applyNumberFormat="1" applyFont="1" applyFill="1" applyBorder="1" applyProtection="1">
      <protection hidden="1"/>
    </xf>
    <xf numFmtId="167" fontId="31" fillId="7" borderId="1" xfId="1" applyNumberFormat="1" applyFont="1" applyFill="1" applyBorder="1" applyAlignment="1" applyProtection="1">
      <alignment horizontal="center"/>
      <protection hidden="1"/>
    </xf>
    <xf numFmtId="167" fontId="31" fillId="0" borderId="1" xfId="1" applyNumberFormat="1" applyFont="1" applyFill="1" applyBorder="1" applyAlignment="1" applyProtection="1">
      <alignment horizontal="center"/>
      <protection hidden="1"/>
    </xf>
    <xf numFmtId="166" fontId="42" fillId="2" borderId="21" xfId="1" applyNumberFormat="1" applyFont="1" applyFill="1" applyBorder="1" applyAlignment="1" applyProtection="1">
      <alignment wrapText="1"/>
      <protection hidden="1"/>
    </xf>
    <xf numFmtId="164" fontId="21" fillId="2" borderId="0" xfId="1" applyFont="1" applyFill="1" applyAlignment="1" applyProtection="1">
      <alignment wrapText="1"/>
      <protection hidden="1"/>
    </xf>
    <xf numFmtId="164" fontId="21" fillId="4" borderId="0" xfId="1" applyFont="1" applyFill="1" applyAlignment="1" applyProtection="1">
      <alignment wrapText="1"/>
      <protection hidden="1"/>
    </xf>
    <xf numFmtId="0" fontId="51" fillId="9" borderId="14" xfId="0" applyFont="1" applyFill="1" applyBorder="1" applyProtection="1">
      <protection hidden="1"/>
    </xf>
    <xf numFmtId="0" fontId="50" fillId="9" borderId="12" xfId="0" applyFont="1" applyFill="1" applyBorder="1" applyAlignment="1" applyProtection="1">
      <alignment wrapText="1"/>
      <protection hidden="1"/>
    </xf>
    <xf numFmtId="0" fontId="50" fillId="9" borderId="12" xfId="1" applyNumberFormat="1" applyFont="1" applyFill="1" applyBorder="1" applyAlignment="1" applyProtection="1">
      <alignment wrapText="1"/>
      <protection hidden="1"/>
    </xf>
    <xf numFmtId="164" fontId="50" fillId="9" borderId="12" xfId="1" applyFont="1" applyFill="1" applyBorder="1" applyAlignment="1" applyProtection="1">
      <alignment wrapText="1"/>
      <protection hidden="1"/>
    </xf>
    <xf numFmtId="166" fontId="50" fillId="9" borderId="12" xfId="1" applyNumberFormat="1" applyFont="1" applyFill="1" applyBorder="1" applyAlignment="1" applyProtection="1">
      <alignment wrapText="1"/>
      <protection hidden="1"/>
    </xf>
    <xf numFmtId="166" fontId="50" fillId="9" borderId="13" xfId="1" applyNumberFormat="1" applyFont="1" applyFill="1" applyBorder="1" applyAlignment="1" applyProtection="1">
      <alignment wrapText="1"/>
      <protection hidden="1"/>
    </xf>
    <xf numFmtId="0" fontId="52" fillId="9" borderId="5" xfId="0" applyFont="1" applyFill="1" applyBorder="1" applyProtection="1">
      <protection hidden="1"/>
    </xf>
    <xf numFmtId="0" fontId="52" fillId="9" borderId="0" xfId="0" applyFont="1" applyFill="1" applyAlignment="1" applyProtection="1">
      <alignment wrapText="1"/>
      <protection hidden="1"/>
    </xf>
    <xf numFmtId="164" fontId="52" fillId="9" borderId="0" xfId="1" applyFont="1" applyFill="1" applyBorder="1" applyAlignment="1" applyProtection="1">
      <alignment wrapText="1"/>
      <protection hidden="1"/>
    </xf>
    <xf numFmtId="164" fontId="52" fillId="9" borderId="0" xfId="0" applyNumberFormat="1" applyFont="1" applyFill="1" applyAlignment="1" applyProtection="1">
      <alignment wrapText="1"/>
      <protection hidden="1"/>
    </xf>
    <xf numFmtId="164" fontId="52" fillId="9" borderId="0" xfId="1" applyFont="1" applyFill="1" applyAlignment="1" applyProtection="1">
      <alignment wrapText="1"/>
      <protection hidden="1"/>
    </xf>
    <xf numFmtId="166" fontId="52" fillId="9" borderId="0" xfId="1" applyNumberFormat="1" applyFont="1" applyFill="1" applyBorder="1" applyAlignment="1" applyProtection="1">
      <alignment wrapText="1"/>
      <protection hidden="1"/>
    </xf>
    <xf numFmtId="0" fontId="52" fillId="9" borderId="7" xfId="0" applyFont="1" applyFill="1" applyBorder="1" applyAlignment="1" applyProtection="1">
      <alignment wrapText="1"/>
      <protection hidden="1"/>
    </xf>
    <xf numFmtId="0" fontId="50" fillId="9" borderId="5" xfId="0" applyFont="1" applyFill="1" applyBorder="1" applyProtection="1">
      <protection hidden="1"/>
    </xf>
    <xf numFmtId="0" fontId="50" fillId="9" borderId="0" xfId="0" applyFont="1" applyFill="1" applyAlignment="1" applyProtection="1">
      <alignment wrapText="1"/>
      <protection hidden="1"/>
    </xf>
    <xf numFmtId="0" fontId="50" fillId="9" borderId="0" xfId="1" applyNumberFormat="1" applyFont="1" applyFill="1" applyBorder="1" applyAlignment="1" applyProtection="1">
      <alignment wrapText="1"/>
      <protection hidden="1"/>
    </xf>
    <xf numFmtId="164" fontId="50" fillId="9" borderId="0" xfId="1" applyFont="1" applyFill="1" applyBorder="1" applyAlignment="1" applyProtection="1">
      <alignment wrapText="1"/>
      <protection hidden="1"/>
    </xf>
    <xf numFmtId="166" fontId="50" fillId="9" borderId="0" xfId="1" applyNumberFormat="1" applyFont="1" applyFill="1" applyBorder="1" applyAlignment="1" applyProtection="1">
      <alignment wrapText="1"/>
      <protection hidden="1"/>
    </xf>
    <xf numFmtId="166" fontId="50" fillId="9" borderId="7" xfId="1" applyNumberFormat="1" applyFont="1" applyFill="1" applyBorder="1" applyAlignment="1" applyProtection="1">
      <alignment wrapText="1"/>
      <protection hidden="1"/>
    </xf>
    <xf numFmtId="164" fontId="23" fillId="0" borderId="21" xfId="0" applyNumberFormat="1" applyFont="1" applyBorder="1" applyAlignment="1" applyProtection="1">
      <alignment wrapText="1"/>
      <protection hidden="1"/>
    </xf>
    <xf numFmtId="166" fontId="33" fillId="11" borderId="1" xfId="1" applyNumberFormat="1" applyFont="1" applyFill="1" applyBorder="1" applyAlignment="1" applyProtection="1">
      <alignment wrapText="1"/>
      <protection hidden="1"/>
    </xf>
    <xf numFmtId="166" fontId="53" fillId="11" borderId="1" xfId="1" applyNumberFormat="1" applyFont="1" applyFill="1" applyBorder="1" applyAlignment="1" applyProtection="1">
      <alignment horizontal="center"/>
      <protection hidden="1"/>
    </xf>
    <xf numFmtId="166" fontId="30" fillId="2" borderId="21" xfId="1" applyNumberFormat="1" applyFont="1" applyFill="1" applyBorder="1" applyAlignment="1" applyProtection="1">
      <alignment wrapText="1"/>
      <protection hidden="1"/>
    </xf>
    <xf numFmtId="0" fontId="33" fillId="10" borderId="1" xfId="0" applyFont="1" applyFill="1" applyBorder="1" applyProtection="1">
      <protection hidden="1"/>
    </xf>
    <xf numFmtId="0" fontId="33" fillId="10" borderId="1" xfId="0" applyFont="1" applyFill="1" applyBorder="1" applyAlignment="1" applyProtection="1">
      <alignment horizontal="center"/>
      <protection hidden="1"/>
    </xf>
    <xf numFmtId="0" fontId="33" fillId="10" borderId="1" xfId="0" quotePrefix="1" applyFont="1" applyFill="1" applyBorder="1" applyAlignment="1" applyProtection="1">
      <alignment horizontal="center"/>
      <protection hidden="1"/>
    </xf>
    <xf numFmtId="166" fontId="33" fillId="10" borderId="1" xfId="1" applyNumberFormat="1" applyFont="1" applyFill="1" applyBorder="1" applyAlignment="1" applyProtection="1">
      <alignment horizontal="center" wrapText="1"/>
      <protection hidden="1"/>
    </xf>
    <xf numFmtId="166" fontId="33" fillId="10" borderId="1" xfId="1" applyNumberFormat="1" applyFont="1" applyFill="1" applyBorder="1" applyAlignment="1" applyProtection="1">
      <alignment horizontal="center"/>
      <protection hidden="1"/>
    </xf>
    <xf numFmtId="0" fontId="33" fillId="10" borderId="1" xfId="0" applyFont="1" applyFill="1" applyBorder="1" applyAlignment="1" applyProtection="1">
      <alignment wrapText="1"/>
      <protection hidden="1"/>
    </xf>
    <xf numFmtId="0" fontId="33" fillId="10" borderId="1" xfId="0" applyFont="1" applyFill="1" applyBorder="1" applyAlignment="1" applyProtection="1">
      <alignment horizontal="center" wrapText="1"/>
      <protection hidden="1"/>
    </xf>
    <xf numFmtId="0" fontId="33" fillId="10" borderId="1" xfId="0" quotePrefix="1" applyFont="1" applyFill="1" applyBorder="1" applyAlignment="1" applyProtection="1">
      <alignment horizontal="center" wrapText="1"/>
      <protection hidden="1"/>
    </xf>
    <xf numFmtId="166" fontId="33" fillId="10" borderId="1" xfId="1" applyNumberFormat="1" applyFont="1" applyFill="1" applyBorder="1" applyAlignment="1" applyProtection="1">
      <alignment wrapText="1"/>
      <protection hidden="1"/>
    </xf>
    <xf numFmtId="166" fontId="33" fillId="10" borderId="1" xfId="1" applyNumberFormat="1" applyFont="1" applyFill="1" applyBorder="1" applyProtection="1">
      <protection hidden="1"/>
    </xf>
    <xf numFmtId="0" fontId="22" fillId="0" borderId="15" xfId="0" applyFont="1" applyBorder="1" applyAlignment="1" applyProtection="1">
      <alignment horizontal="center"/>
      <protection hidden="1"/>
    </xf>
    <xf numFmtId="0" fontId="22" fillId="0" borderId="6" xfId="0" applyFont="1" applyBorder="1" applyAlignment="1" applyProtection="1">
      <alignment horizontal="center"/>
      <protection hidden="1"/>
    </xf>
    <xf numFmtId="0" fontId="22" fillId="0" borderId="16" xfId="0" applyFont="1" applyBorder="1" applyAlignment="1" applyProtection="1">
      <alignment horizontal="center"/>
      <protection hidden="1"/>
    </xf>
    <xf numFmtId="0" fontId="22" fillId="2" borderId="15" xfId="0" applyFont="1" applyFill="1" applyBorder="1" applyAlignment="1" applyProtection="1">
      <alignment horizontal="center"/>
      <protection hidden="1"/>
    </xf>
    <xf numFmtId="0" fontId="22" fillId="2" borderId="6" xfId="0" applyFont="1" applyFill="1" applyBorder="1" applyAlignment="1" applyProtection="1">
      <alignment horizontal="center"/>
      <protection hidden="1"/>
    </xf>
    <xf numFmtId="164" fontId="22" fillId="2" borderId="15" xfId="1" applyFont="1" applyFill="1" applyBorder="1" applyAlignment="1" applyProtection="1">
      <alignment horizontal="center"/>
      <protection hidden="1"/>
    </xf>
    <xf numFmtId="164" fontId="22" fillId="2" borderId="6" xfId="1" applyFont="1" applyFill="1" applyBorder="1" applyAlignment="1" applyProtection="1">
      <alignment horizontal="center"/>
      <protection hidden="1"/>
    </xf>
    <xf numFmtId="164" fontId="22" fillId="2" borderId="16" xfId="1" applyFont="1" applyFill="1" applyBorder="1" applyAlignment="1" applyProtection="1">
      <alignment horizontal="center"/>
      <protection hidden="1"/>
    </xf>
    <xf numFmtId="0" fontId="22" fillId="0" borderId="2" xfId="0" applyFont="1" applyBorder="1" applyAlignment="1" applyProtection="1">
      <alignment horizontal="center"/>
      <protection hidden="1"/>
    </xf>
    <xf numFmtId="0" fontId="22" fillId="0" borderId="3" xfId="0" applyFont="1" applyBorder="1" applyAlignment="1" applyProtection="1">
      <alignment horizontal="center"/>
      <protection hidden="1"/>
    </xf>
    <xf numFmtId="0" fontId="22" fillId="0" borderId="4" xfId="0" applyFont="1" applyBorder="1" applyAlignment="1" applyProtection="1">
      <alignment horizontal="center"/>
      <protection hidden="1"/>
    </xf>
  </cellXfs>
  <cellStyles count="4">
    <cellStyle name="Comma" xfId="1" builtinId="3"/>
    <cellStyle name="Normal" xfId="0" builtinId="0"/>
    <cellStyle name="Normal 2" xfId="3" xr:uid="{7B50EA09-8FA2-44B3-BB66-5C307FB492DD}"/>
    <cellStyle name="Percent"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592683</xdr:colOff>
      <xdr:row>4</xdr:row>
      <xdr:rowOff>50796</xdr:rowOff>
    </xdr:from>
    <xdr:to>
      <xdr:col>1</xdr:col>
      <xdr:colOff>4318016</xdr:colOff>
      <xdr:row>4</xdr:row>
      <xdr:rowOff>922971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2283" y="702729"/>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V177"/>
  <sheetViews>
    <sheetView tabSelected="1" zoomScale="90" zoomScaleNormal="90" zoomScaleSheetLayoutView="70" workbookViewId="0">
      <pane xSplit="2" ySplit="7" topLeftCell="C8" activePane="bottomRight" state="frozen"/>
      <selection pane="topRight" activeCell="C1" sqref="C1"/>
      <selection pane="bottomLeft" activeCell="A7" sqref="A7"/>
      <selection pane="bottomRight" activeCell="C8" sqref="C8"/>
    </sheetView>
  </sheetViews>
  <sheetFormatPr defaultColWidth="9.140625" defaultRowHeight="12.75" x14ac:dyDescent="0.2"/>
  <cols>
    <col min="1" max="1" width="8.85546875" style="7" bestFit="1" customWidth="1"/>
    <col min="2" max="2" width="67.7109375" style="4" customWidth="1"/>
    <col min="3" max="3" width="11.7109375" style="139" bestFit="1" customWidth="1"/>
    <col min="4" max="4" width="10.140625" style="8" customWidth="1"/>
    <col min="5" max="9" width="10.140625" style="9" customWidth="1"/>
    <col min="10" max="12" width="11.7109375" style="9" customWidth="1"/>
    <col min="13" max="13" width="15" style="9" customWidth="1"/>
    <col min="14" max="14" width="14" style="9" customWidth="1"/>
    <col min="15" max="16" width="11.7109375" style="9" customWidth="1"/>
    <col min="17" max="17" width="10" style="8" bestFit="1" customWidth="1"/>
    <col min="18" max="18" width="10" style="8" customWidth="1"/>
    <col min="19" max="20" width="11.7109375" style="9" customWidth="1"/>
    <col min="21" max="23" width="10" style="8" customWidth="1"/>
    <col min="24" max="24" width="8.85546875" style="9" customWidth="1"/>
    <col min="25" max="29" width="9.28515625" style="4" customWidth="1"/>
    <col min="30" max="30" width="10" style="4" customWidth="1"/>
    <col min="31" max="31" width="10" style="8" bestFit="1" customWidth="1"/>
    <col min="32" max="32" width="10.28515625" style="8" customWidth="1"/>
    <col min="33" max="34" width="9.28515625" style="8" customWidth="1"/>
    <col min="35" max="35" width="9.85546875" style="8" hidden="1" customWidth="1"/>
    <col min="36" max="36" width="11.42578125" style="8" customWidth="1"/>
    <col min="37" max="37" width="10.5703125" style="9" customWidth="1"/>
    <col min="38" max="38" width="10.85546875" style="9" customWidth="1"/>
    <col min="39" max="39" width="11.5703125" style="9" customWidth="1"/>
    <col min="40" max="40" width="9.7109375" style="8" customWidth="1"/>
    <col min="41" max="41" width="9.7109375" style="9" customWidth="1"/>
    <col min="42" max="42" width="9.85546875" style="8" customWidth="1"/>
    <col min="43" max="43" width="10.5703125" style="8" customWidth="1"/>
    <col min="44" max="44" width="9.7109375" style="9" customWidth="1"/>
    <col min="45" max="46" width="9.85546875" style="8" customWidth="1"/>
    <col min="47" max="47" width="9.7109375" style="8" customWidth="1"/>
    <col min="48" max="48" width="9.7109375" style="9" customWidth="1"/>
    <col min="49" max="49" width="11" style="8" customWidth="1"/>
    <col min="50" max="50" width="9.7109375" style="9" customWidth="1"/>
    <col min="51" max="51" width="9.7109375" style="8" hidden="1" customWidth="1"/>
    <col min="52" max="52" width="9.7109375" style="9" hidden="1" customWidth="1"/>
    <col min="53" max="53" width="11.28515625" style="9" bestFit="1" customWidth="1"/>
    <col min="54" max="54" width="11.7109375" style="9" bestFit="1" customWidth="1"/>
    <col min="55" max="64" width="9.140625" style="4"/>
    <col min="65" max="74" width="9.140625" style="5"/>
    <col min="75" max="16384" width="9.140625" style="6"/>
  </cols>
  <sheetData>
    <row r="1" spans="1:74" ht="23.25" x14ac:dyDescent="0.35">
      <c r="A1" s="1" t="s">
        <v>290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184"/>
      <c r="AO1" s="2"/>
      <c r="AP1" s="2"/>
      <c r="AQ1" s="184"/>
      <c r="AR1" s="2"/>
      <c r="AS1" s="2"/>
      <c r="AT1" s="2"/>
      <c r="AU1" s="184"/>
      <c r="AV1" s="2"/>
      <c r="AW1" s="184"/>
      <c r="AX1" s="2"/>
      <c r="AY1" s="184"/>
      <c r="AZ1" s="2"/>
      <c r="BA1" s="2"/>
      <c r="BB1" s="3"/>
    </row>
    <row r="2" spans="1:74" x14ac:dyDescent="0.2">
      <c r="A2" s="165"/>
      <c r="B2" s="166"/>
      <c r="C2" s="167"/>
      <c r="D2" s="168"/>
      <c r="E2" s="169"/>
      <c r="F2" s="169"/>
      <c r="G2" s="169"/>
      <c r="H2" s="169"/>
      <c r="I2" s="169"/>
      <c r="J2" s="169"/>
      <c r="K2" s="169"/>
      <c r="L2" s="169"/>
      <c r="M2" s="169"/>
      <c r="N2" s="169"/>
      <c r="O2" s="169"/>
      <c r="P2" s="169"/>
      <c r="Q2" s="168"/>
      <c r="R2" s="168"/>
      <c r="S2" s="169"/>
      <c r="T2" s="169"/>
      <c r="U2" s="168"/>
      <c r="V2" s="168"/>
      <c r="W2" s="168"/>
      <c r="X2" s="169"/>
      <c r="Y2" s="170"/>
      <c r="Z2" s="170"/>
      <c r="AA2" s="170"/>
      <c r="AB2" s="170"/>
      <c r="AC2" s="170"/>
      <c r="AD2" s="170"/>
      <c r="AE2" s="168"/>
      <c r="AF2" s="168"/>
      <c r="AG2" s="168"/>
      <c r="AH2" s="168"/>
      <c r="AI2" s="168"/>
      <c r="AJ2" s="168"/>
      <c r="AK2" s="169"/>
      <c r="AL2" s="169"/>
      <c r="AM2" s="169"/>
      <c r="AN2" s="168"/>
      <c r="AO2" s="169"/>
      <c r="AP2" s="168"/>
      <c r="AQ2" s="168"/>
      <c r="AR2" s="169"/>
      <c r="AS2" s="168"/>
      <c r="AT2" s="168"/>
      <c r="AU2" s="168"/>
      <c r="AV2" s="169"/>
      <c r="AW2" s="168"/>
      <c r="AX2" s="169"/>
      <c r="AY2" s="168"/>
      <c r="AZ2" s="169"/>
      <c r="BA2" s="169"/>
      <c r="BB2" s="171"/>
    </row>
    <row r="3" spans="1:74" ht="15.75" x14ac:dyDescent="0.25">
      <c r="A3" s="162" t="s">
        <v>169</v>
      </c>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85"/>
      <c r="AO3" s="163"/>
      <c r="AP3" s="163"/>
      <c r="AQ3" s="185"/>
      <c r="AR3" s="163"/>
      <c r="AS3" s="163"/>
      <c r="AT3" s="163"/>
      <c r="AU3" s="185"/>
      <c r="AV3" s="163"/>
      <c r="AW3" s="185"/>
      <c r="AX3" s="163"/>
      <c r="AY3" s="185"/>
      <c r="AZ3" s="163"/>
      <c r="BA3" s="163"/>
      <c r="BB3" s="164"/>
    </row>
    <row r="4" spans="1:74" s="7" customFormat="1" ht="15.75" customHeight="1" x14ac:dyDescent="0.25">
      <c r="A4" s="160"/>
      <c r="B4" s="161"/>
      <c r="C4" s="161"/>
      <c r="D4" s="316" t="s">
        <v>170</v>
      </c>
      <c r="E4" s="318"/>
      <c r="F4" s="324" t="s">
        <v>171</v>
      </c>
      <c r="G4" s="325"/>
      <c r="H4" s="325"/>
      <c r="I4" s="325"/>
      <c r="J4" s="325"/>
      <c r="K4" s="325"/>
      <c r="L4" s="325"/>
      <c r="M4" s="325"/>
      <c r="N4" s="325"/>
      <c r="O4" s="325"/>
      <c r="P4" s="326"/>
      <c r="Q4" s="316" t="s">
        <v>172</v>
      </c>
      <c r="R4" s="317"/>
      <c r="S4" s="317"/>
      <c r="T4" s="318"/>
      <c r="U4" s="316" t="s">
        <v>173</v>
      </c>
      <c r="V4" s="317"/>
      <c r="W4" s="317"/>
      <c r="X4" s="317"/>
      <c r="Y4" s="317"/>
      <c r="Z4" s="317"/>
      <c r="AA4" s="317"/>
      <c r="AB4" s="317"/>
      <c r="AC4" s="317"/>
      <c r="AD4" s="318"/>
      <c r="AE4" s="316" t="s">
        <v>174</v>
      </c>
      <c r="AF4" s="317"/>
      <c r="AG4" s="317"/>
      <c r="AH4" s="317"/>
      <c r="AI4" s="318"/>
      <c r="AJ4" s="316" t="s">
        <v>175</v>
      </c>
      <c r="AK4" s="317"/>
      <c r="AL4" s="317"/>
      <c r="AM4" s="318"/>
      <c r="AN4" s="316" t="s">
        <v>176</v>
      </c>
      <c r="AO4" s="317"/>
      <c r="AP4" s="318"/>
      <c r="AQ4" s="319" t="s">
        <v>177</v>
      </c>
      <c r="AR4" s="320"/>
      <c r="AS4" s="320"/>
      <c r="AT4" s="320"/>
      <c r="AU4" s="321" t="s">
        <v>178</v>
      </c>
      <c r="AV4" s="322"/>
      <c r="AW4" s="322"/>
      <c r="AX4" s="322"/>
      <c r="AY4" s="322"/>
      <c r="AZ4" s="322"/>
      <c r="BA4" s="322"/>
      <c r="BB4" s="323"/>
      <c r="BC4" s="4"/>
      <c r="BD4" s="4"/>
      <c r="BE4" s="4"/>
      <c r="BF4" s="4"/>
      <c r="BG4" s="4"/>
      <c r="BH4" s="4"/>
      <c r="BI4" s="4"/>
      <c r="BJ4" s="4"/>
      <c r="BK4" s="4"/>
      <c r="BL4" s="4"/>
      <c r="BM4" s="4"/>
      <c r="BN4" s="4"/>
      <c r="BO4" s="4"/>
      <c r="BP4" s="4"/>
      <c r="BQ4" s="4"/>
      <c r="BR4" s="4"/>
      <c r="BS4" s="4"/>
      <c r="BT4" s="4"/>
      <c r="BU4" s="4"/>
      <c r="BV4" s="4"/>
    </row>
    <row r="5" spans="1:74" s="18" customFormat="1" ht="84" customHeight="1" x14ac:dyDescent="0.2">
      <c r="A5" s="10" t="s">
        <v>0</v>
      </c>
      <c r="B5" s="11" t="s">
        <v>1</v>
      </c>
      <c r="C5" s="12" t="s">
        <v>2</v>
      </c>
      <c r="D5" s="13" t="s">
        <v>282</v>
      </c>
      <c r="E5" s="14" t="s">
        <v>179</v>
      </c>
      <c r="F5" s="13" t="s">
        <v>238</v>
      </c>
      <c r="G5" s="13" t="s">
        <v>239</v>
      </c>
      <c r="H5" s="13" t="s">
        <v>279</v>
      </c>
      <c r="I5" s="13" t="s">
        <v>280</v>
      </c>
      <c r="J5" s="14" t="s">
        <v>182</v>
      </c>
      <c r="K5" s="14" t="s">
        <v>182</v>
      </c>
      <c r="L5" s="14" t="s">
        <v>182</v>
      </c>
      <c r="M5" s="14" t="s">
        <v>182</v>
      </c>
      <c r="N5" s="14" t="s">
        <v>182</v>
      </c>
      <c r="O5" s="14" t="s">
        <v>182</v>
      </c>
      <c r="P5" s="14" t="s">
        <v>182</v>
      </c>
      <c r="Q5" s="13" t="s">
        <v>181</v>
      </c>
      <c r="R5" s="14" t="s">
        <v>179</v>
      </c>
      <c r="S5" s="14" t="s">
        <v>182</v>
      </c>
      <c r="T5" s="14" t="s">
        <v>182</v>
      </c>
      <c r="U5" s="13" t="s">
        <v>238</v>
      </c>
      <c r="V5" s="14" t="s">
        <v>239</v>
      </c>
      <c r="W5" s="13" t="s">
        <v>279</v>
      </c>
      <c r="X5" s="13" t="s">
        <v>280</v>
      </c>
      <c r="Y5" s="15" t="s">
        <v>227</v>
      </c>
      <c r="Z5" s="15" t="s">
        <v>183</v>
      </c>
      <c r="AA5" s="15" t="s">
        <v>184</v>
      </c>
      <c r="AB5" s="15" t="s">
        <v>185</v>
      </c>
      <c r="AC5" s="15" t="s">
        <v>186</v>
      </c>
      <c r="AD5" s="15" t="s">
        <v>187</v>
      </c>
      <c r="AE5" s="13" t="s">
        <v>180</v>
      </c>
      <c r="AF5" s="13" t="s">
        <v>179</v>
      </c>
      <c r="AG5" s="13" t="s">
        <v>182</v>
      </c>
      <c r="AH5" s="13" t="s">
        <v>182</v>
      </c>
      <c r="AI5" s="13" t="s">
        <v>182</v>
      </c>
      <c r="AJ5" s="13" t="s">
        <v>281</v>
      </c>
      <c r="AK5" s="13" t="s">
        <v>188</v>
      </c>
      <c r="AL5" s="13" t="s">
        <v>189</v>
      </c>
      <c r="AM5" s="13" t="s">
        <v>190</v>
      </c>
      <c r="AN5" s="13" t="s">
        <v>191</v>
      </c>
      <c r="AO5" s="14" t="s">
        <v>179</v>
      </c>
      <c r="AP5" s="14" t="s">
        <v>182</v>
      </c>
      <c r="AQ5" s="13" t="s">
        <v>189</v>
      </c>
      <c r="AR5" s="14" t="s">
        <v>179</v>
      </c>
      <c r="AS5" s="13" t="s">
        <v>192</v>
      </c>
      <c r="AT5" s="13" t="s">
        <v>192</v>
      </c>
      <c r="AU5" s="13" t="s">
        <v>193</v>
      </c>
      <c r="AV5" s="13" t="s">
        <v>194</v>
      </c>
      <c r="AW5" s="13" t="s">
        <v>277</v>
      </c>
      <c r="AX5" s="13" t="s">
        <v>278</v>
      </c>
      <c r="AY5" s="13" t="s">
        <v>195</v>
      </c>
      <c r="AZ5" s="14" t="s">
        <v>196</v>
      </c>
      <c r="BA5" s="13" t="s">
        <v>197</v>
      </c>
      <c r="BB5" s="14" t="s">
        <v>160</v>
      </c>
      <c r="BC5" s="16"/>
      <c r="BD5" s="16"/>
      <c r="BE5" s="16"/>
      <c r="BF5" s="16"/>
      <c r="BG5" s="16"/>
      <c r="BH5" s="16"/>
      <c r="BI5" s="16"/>
      <c r="BJ5" s="16"/>
      <c r="BK5" s="16"/>
      <c r="BL5" s="16"/>
      <c r="BM5" s="17"/>
      <c r="BN5" s="17"/>
      <c r="BO5" s="17"/>
      <c r="BP5" s="17"/>
      <c r="BQ5" s="17"/>
      <c r="BR5" s="17"/>
      <c r="BS5" s="17"/>
      <c r="BT5" s="17"/>
      <c r="BU5" s="17"/>
      <c r="BV5" s="17"/>
    </row>
    <row r="6" spans="1:74" ht="13.5" customHeight="1" x14ac:dyDescent="0.2">
      <c r="A6" s="19"/>
      <c r="B6" s="20"/>
      <c r="C6" s="21"/>
      <c r="D6" s="22"/>
      <c r="E6" s="23"/>
      <c r="F6" s="157"/>
      <c r="G6" s="23"/>
      <c r="H6" s="157"/>
      <c r="I6" s="23"/>
      <c r="J6" s="26">
        <v>1.1000000000000001</v>
      </c>
      <c r="K6" s="26">
        <v>1.37</v>
      </c>
      <c r="L6" s="26">
        <v>1.47</v>
      </c>
      <c r="M6" s="26">
        <v>1.62</v>
      </c>
      <c r="N6" s="26">
        <v>2</v>
      </c>
      <c r="O6" s="26">
        <v>2.15</v>
      </c>
      <c r="P6" s="26">
        <v>3</v>
      </c>
      <c r="Q6" s="157"/>
      <c r="R6" s="23"/>
      <c r="S6" s="26">
        <v>1.3</v>
      </c>
      <c r="T6" s="26">
        <v>1.5</v>
      </c>
      <c r="U6" s="22"/>
      <c r="V6" s="24"/>
      <c r="W6" s="22"/>
      <c r="X6" s="24"/>
      <c r="Y6" s="25">
        <v>1.1000000000000001</v>
      </c>
      <c r="Z6" s="25">
        <v>1.37</v>
      </c>
      <c r="AA6" s="25">
        <v>1.62</v>
      </c>
      <c r="AB6" s="25">
        <v>1.47</v>
      </c>
      <c r="AC6" s="25">
        <v>2.17</v>
      </c>
      <c r="AD6" s="25">
        <v>3</v>
      </c>
      <c r="AE6" s="22"/>
      <c r="AF6" s="22"/>
      <c r="AG6" s="26">
        <v>1.65</v>
      </c>
      <c r="AH6" s="26">
        <v>2.1</v>
      </c>
      <c r="AI6" s="26">
        <v>3</v>
      </c>
      <c r="AJ6" s="22"/>
      <c r="AK6" s="24"/>
      <c r="AL6" s="22"/>
      <c r="AM6" s="24"/>
      <c r="AN6" s="157"/>
      <c r="AO6" s="23"/>
      <c r="AP6" s="26">
        <v>1.5</v>
      </c>
      <c r="AQ6" s="22"/>
      <c r="AR6" s="22"/>
      <c r="AS6" s="26">
        <v>1.3</v>
      </c>
      <c r="AT6" s="26">
        <v>1.45</v>
      </c>
      <c r="AU6" s="22"/>
      <c r="AV6" s="22"/>
      <c r="AW6" s="22"/>
      <c r="AX6" s="22"/>
      <c r="AY6" s="22"/>
      <c r="AZ6" s="22"/>
      <c r="BA6" s="23"/>
      <c r="BB6" s="23"/>
    </row>
    <row r="7" spans="1:74" s="32" customFormat="1" x14ac:dyDescent="0.2">
      <c r="A7" s="27"/>
      <c r="B7" s="28"/>
      <c r="C7" s="29" t="s">
        <v>125</v>
      </c>
      <c r="D7" s="158" t="s">
        <v>126</v>
      </c>
      <c r="E7" s="159" t="s">
        <v>126</v>
      </c>
      <c r="F7" s="158" t="s">
        <v>126</v>
      </c>
      <c r="G7" s="159" t="s">
        <v>126</v>
      </c>
      <c r="H7" s="158" t="s">
        <v>126</v>
      </c>
      <c r="I7" s="159" t="s">
        <v>126</v>
      </c>
      <c r="J7" s="159" t="s">
        <v>126</v>
      </c>
      <c r="K7" s="159" t="s">
        <v>126</v>
      </c>
      <c r="L7" s="159" t="s">
        <v>126</v>
      </c>
      <c r="M7" s="159" t="s">
        <v>126</v>
      </c>
      <c r="N7" s="159" t="s">
        <v>126</v>
      </c>
      <c r="O7" s="159" t="s">
        <v>126</v>
      </c>
      <c r="P7" s="159" t="s">
        <v>126</v>
      </c>
      <c r="Q7" s="159" t="s">
        <v>126</v>
      </c>
      <c r="R7" s="159" t="s">
        <v>126</v>
      </c>
      <c r="S7" s="159" t="s">
        <v>126</v>
      </c>
      <c r="T7" s="159" t="s">
        <v>126</v>
      </c>
      <c r="U7" s="159" t="s">
        <v>126</v>
      </c>
      <c r="V7" s="159" t="s">
        <v>126</v>
      </c>
      <c r="W7" s="159" t="s">
        <v>126</v>
      </c>
      <c r="X7" s="159" t="s">
        <v>126</v>
      </c>
      <c r="Y7" s="159" t="s">
        <v>126</v>
      </c>
      <c r="Z7" s="159" t="s">
        <v>126</v>
      </c>
      <c r="AA7" s="159" t="s">
        <v>126</v>
      </c>
      <c r="AB7" s="159" t="s">
        <v>126</v>
      </c>
      <c r="AC7" s="159" t="s">
        <v>126</v>
      </c>
      <c r="AD7" s="159" t="s">
        <v>126</v>
      </c>
      <c r="AE7" s="159" t="s">
        <v>126</v>
      </c>
      <c r="AF7" s="159" t="s">
        <v>126</v>
      </c>
      <c r="AG7" s="159" t="s">
        <v>126</v>
      </c>
      <c r="AH7" s="159" t="s">
        <v>126</v>
      </c>
      <c r="AI7" s="159" t="s">
        <v>126</v>
      </c>
      <c r="AJ7" s="159" t="s">
        <v>126</v>
      </c>
      <c r="AK7" s="159" t="s">
        <v>126</v>
      </c>
      <c r="AL7" s="159" t="s">
        <v>126</v>
      </c>
      <c r="AM7" s="159" t="s">
        <v>126</v>
      </c>
      <c r="AN7" s="158" t="s">
        <v>126</v>
      </c>
      <c r="AO7" s="159" t="s">
        <v>126</v>
      </c>
      <c r="AP7" s="159" t="s">
        <v>126</v>
      </c>
      <c r="AQ7" s="158" t="s">
        <v>126</v>
      </c>
      <c r="AR7" s="159" t="s">
        <v>126</v>
      </c>
      <c r="AS7" s="159" t="s">
        <v>126</v>
      </c>
      <c r="AT7" s="159" t="s">
        <v>126</v>
      </c>
      <c r="AU7" s="158" t="s">
        <v>126</v>
      </c>
      <c r="AV7" s="159" t="s">
        <v>126</v>
      </c>
      <c r="AW7" s="158" t="s">
        <v>126</v>
      </c>
      <c r="AX7" s="159" t="s">
        <v>126</v>
      </c>
      <c r="AY7" s="158" t="s">
        <v>126</v>
      </c>
      <c r="AZ7" s="159" t="s">
        <v>126</v>
      </c>
      <c r="BA7" s="159" t="s">
        <v>126</v>
      </c>
      <c r="BB7" s="159" t="s">
        <v>126</v>
      </c>
      <c r="BC7" s="30"/>
      <c r="BD7" s="30"/>
      <c r="BE7" s="30"/>
      <c r="BF7" s="30"/>
      <c r="BG7" s="30"/>
      <c r="BH7" s="30"/>
      <c r="BI7" s="30"/>
      <c r="BJ7" s="30"/>
      <c r="BK7" s="30"/>
      <c r="BL7" s="30"/>
      <c r="BM7" s="31"/>
      <c r="BN7" s="31"/>
      <c r="BO7" s="31"/>
      <c r="BP7" s="31"/>
      <c r="BQ7" s="31"/>
      <c r="BR7" s="31"/>
      <c r="BS7" s="31"/>
      <c r="BT7" s="31"/>
      <c r="BU7" s="31"/>
      <c r="BV7" s="31"/>
    </row>
    <row r="8" spans="1:74" x14ac:dyDescent="0.2">
      <c r="A8" s="33"/>
      <c r="B8" s="34" t="s">
        <v>3</v>
      </c>
      <c r="C8" s="35"/>
      <c r="D8" s="36"/>
      <c r="E8" s="37"/>
      <c r="F8" s="37"/>
      <c r="G8" s="37"/>
      <c r="H8" s="37"/>
      <c r="I8" s="37"/>
      <c r="J8" s="37"/>
      <c r="K8" s="37"/>
      <c r="L8" s="37"/>
      <c r="M8" s="37"/>
      <c r="N8" s="37"/>
      <c r="O8" s="37"/>
      <c r="P8" s="37"/>
      <c r="Q8" s="38"/>
      <c r="R8" s="38"/>
      <c r="S8" s="37"/>
      <c r="T8" s="37"/>
      <c r="U8" s="38"/>
      <c r="V8" s="172"/>
      <c r="W8" s="38"/>
      <c r="X8" s="37"/>
      <c r="Y8" s="39"/>
      <c r="Z8" s="39"/>
      <c r="AA8" s="40"/>
      <c r="AB8" s="40"/>
      <c r="AC8" s="40"/>
      <c r="AD8" s="40"/>
      <c r="AE8" s="38"/>
      <c r="AF8" s="37"/>
      <c r="AG8" s="36"/>
      <c r="AH8" s="36"/>
      <c r="AI8" s="41"/>
      <c r="AJ8" s="36"/>
      <c r="AK8" s="36"/>
      <c r="AL8" s="36"/>
      <c r="AM8" s="36"/>
      <c r="AN8" s="36"/>
      <c r="AO8" s="36"/>
      <c r="AP8" s="41"/>
      <c r="AQ8" s="36"/>
      <c r="AR8" s="36"/>
      <c r="AS8" s="41"/>
      <c r="AT8" s="41"/>
      <c r="AU8" s="36"/>
      <c r="AV8" s="36"/>
      <c r="AW8" s="36"/>
      <c r="AX8" s="36"/>
      <c r="AY8" s="36"/>
      <c r="AZ8" s="36"/>
      <c r="BA8" s="37"/>
      <c r="BB8" s="37"/>
    </row>
    <row r="9" spans="1:74" x14ac:dyDescent="0.2">
      <c r="A9" s="42"/>
      <c r="B9" s="43"/>
      <c r="C9" s="44"/>
      <c r="D9" s="45"/>
      <c r="E9" s="46"/>
      <c r="F9" s="46"/>
      <c r="G9" s="46"/>
      <c r="H9" s="46"/>
      <c r="I9" s="46"/>
      <c r="J9" s="48"/>
      <c r="K9" s="48"/>
      <c r="L9" s="48"/>
      <c r="M9" s="48"/>
      <c r="N9" s="48"/>
      <c r="O9" s="48"/>
      <c r="P9" s="48"/>
      <c r="Q9" s="47"/>
      <c r="R9" s="47"/>
      <c r="S9" s="48"/>
      <c r="T9" s="48"/>
      <c r="U9" s="47"/>
      <c r="V9" s="79"/>
      <c r="W9" s="47"/>
      <c r="X9" s="46"/>
      <c r="Y9" s="48"/>
      <c r="Z9" s="48"/>
      <c r="AA9" s="48"/>
      <c r="AB9" s="49"/>
      <c r="AC9" s="49"/>
      <c r="AD9" s="49"/>
      <c r="AE9" s="45"/>
      <c r="AF9" s="45"/>
      <c r="AG9" s="50"/>
      <c r="AH9" s="50"/>
      <c r="AI9" s="50"/>
      <c r="AJ9" s="47"/>
      <c r="AK9" s="46"/>
      <c r="AL9" s="46"/>
      <c r="AM9" s="46"/>
      <c r="AN9" s="45"/>
      <c r="AO9" s="46"/>
      <c r="AP9" s="50"/>
      <c r="AQ9" s="45"/>
      <c r="AR9" s="46"/>
      <c r="AS9" s="50"/>
      <c r="AT9" s="50"/>
      <c r="AU9" s="45"/>
      <c r="AV9" s="46"/>
      <c r="AW9" s="45"/>
      <c r="AX9" s="46"/>
      <c r="AY9" s="45"/>
      <c r="AZ9" s="46"/>
      <c r="BA9" s="47"/>
      <c r="BB9" s="46"/>
    </row>
    <row r="10" spans="1:74" x14ac:dyDescent="0.2">
      <c r="A10" s="51"/>
      <c r="B10" s="52" t="s">
        <v>149</v>
      </c>
      <c r="C10" s="53"/>
      <c r="D10" s="54"/>
      <c r="E10" s="55"/>
      <c r="F10" s="55"/>
      <c r="G10" s="55"/>
      <c r="H10" s="55"/>
      <c r="I10" s="55"/>
      <c r="J10" s="58"/>
      <c r="K10" s="58"/>
      <c r="L10" s="58"/>
      <c r="M10" s="58"/>
      <c r="N10" s="58"/>
      <c r="O10" s="58"/>
      <c r="P10" s="58"/>
      <c r="Q10" s="56"/>
      <c r="R10" s="55"/>
      <c r="S10" s="58"/>
      <c r="T10" s="58"/>
      <c r="U10" s="56"/>
      <c r="V10" s="55"/>
      <c r="W10" s="56"/>
      <c r="X10" s="55"/>
      <c r="Y10" s="58"/>
      <c r="Z10" s="58"/>
      <c r="AA10" s="58"/>
      <c r="AB10" s="59"/>
      <c r="AC10" s="60"/>
      <c r="AD10" s="60"/>
      <c r="AE10" s="56"/>
      <c r="AF10" s="55"/>
      <c r="AG10" s="61"/>
      <c r="AH10" s="61"/>
      <c r="AI10" s="61"/>
      <c r="AJ10" s="55"/>
      <c r="AK10" s="55"/>
      <c r="AL10" s="55"/>
      <c r="AM10" s="55"/>
      <c r="AN10" s="56"/>
      <c r="AO10" s="55"/>
      <c r="AP10" s="61"/>
      <c r="AQ10" s="56"/>
      <c r="AR10" s="55"/>
      <c r="AS10" s="61"/>
      <c r="AT10" s="61"/>
      <c r="AU10" s="56"/>
      <c r="AV10" s="55"/>
      <c r="AW10" s="56"/>
      <c r="AX10" s="55"/>
      <c r="AY10" s="189"/>
      <c r="AZ10" s="55"/>
      <c r="BA10" s="57"/>
      <c r="BB10" s="55"/>
    </row>
    <row r="11" spans="1:74" s="67" customFormat="1" x14ac:dyDescent="0.2">
      <c r="A11" s="62" t="s">
        <v>15</v>
      </c>
      <c r="B11" s="63" t="s">
        <v>25</v>
      </c>
      <c r="C11" s="64">
        <v>33</v>
      </c>
      <c r="D11" s="56">
        <f t="shared" ref="D11:D37" si="0">E11*C11</f>
        <v>2248.6825349999999</v>
      </c>
      <c r="E11" s="141">
        <f>RCFs!$C$43</f>
        <v>68.141894999999991</v>
      </c>
      <c r="F11" s="142">
        <f>ROUNDDOWN((H11/1.039),1)</f>
        <v>879.8</v>
      </c>
      <c r="G11" s="55">
        <f>F11/C11</f>
        <v>26.66060606060606</v>
      </c>
      <c r="H11" s="142">
        <v>914.2</v>
      </c>
      <c r="I11" s="55">
        <f>H11/C11</f>
        <v>27.703030303030303</v>
      </c>
      <c r="J11" s="65">
        <f t="shared" ref="J11:P23" si="1">ROUND($C11*$I11*J$6,1)</f>
        <v>1005.6</v>
      </c>
      <c r="K11" s="65">
        <f t="shared" si="1"/>
        <v>1252.5</v>
      </c>
      <c r="L11" s="65">
        <f t="shared" si="1"/>
        <v>1343.9</v>
      </c>
      <c r="M11" s="65">
        <f t="shared" si="1"/>
        <v>1481</v>
      </c>
      <c r="N11" s="65">
        <f t="shared" si="1"/>
        <v>1828.4</v>
      </c>
      <c r="O11" s="65">
        <f t="shared" si="1"/>
        <v>1965.5</v>
      </c>
      <c r="P11" s="65">
        <f t="shared" si="1"/>
        <v>2742.6</v>
      </c>
      <c r="Q11" s="56">
        <v>940.9</v>
      </c>
      <c r="R11" s="55">
        <f>Q11/C11</f>
        <v>28.512121212121212</v>
      </c>
      <c r="S11" s="65">
        <f>ROUNDDOWN($Q11*S$6,1)</f>
        <v>1223.0999999999999</v>
      </c>
      <c r="T11" s="65">
        <f>ROUNDDOWN($Q11*T$6,1)</f>
        <v>1411.3</v>
      </c>
      <c r="U11" s="56">
        <v>860.3</v>
      </c>
      <c r="V11" s="55">
        <f>U11/C11</f>
        <v>26.069696969696967</v>
      </c>
      <c r="W11" s="56">
        <v>916.2</v>
      </c>
      <c r="X11" s="55">
        <f t="shared" ref="X11:X26" si="2">W11/C11</f>
        <v>27.763636363636365</v>
      </c>
      <c r="Y11" s="65">
        <f t="shared" ref="Y11:AD13" si="3">ROUND($C11*$X11*Y$6,1)</f>
        <v>1007.8</v>
      </c>
      <c r="Z11" s="65">
        <f t="shared" si="3"/>
        <v>1255.2</v>
      </c>
      <c r="AA11" s="65">
        <f t="shared" si="3"/>
        <v>1484.2</v>
      </c>
      <c r="AB11" s="65">
        <f t="shared" si="3"/>
        <v>1346.8</v>
      </c>
      <c r="AC11" s="65">
        <f t="shared" si="3"/>
        <v>1988.2</v>
      </c>
      <c r="AD11" s="65">
        <f t="shared" si="3"/>
        <v>2748.6</v>
      </c>
      <c r="AE11" s="56">
        <v>882.8</v>
      </c>
      <c r="AF11" s="55">
        <f t="shared" ref="AF11:AF23" si="4">AE11/C11</f>
        <v>26.75151515151515</v>
      </c>
      <c r="AG11" s="61">
        <f t="shared" ref="AG11:AI23" si="5">ROUND($AE11*AG$6,1)</f>
        <v>1456.6</v>
      </c>
      <c r="AH11" s="61">
        <f t="shared" si="5"/>
        <v>1853.9</v>
      </c>
      <c r="AI11" s="61">
        <f t="shared" si="5"/>
        <v>2648.4</v>
      </c>
      <c r="AJ11" s="142">
        <v>899.2</v>
      </c>
      <c r="AK11" s="55">
        <f>AJ11/$C11</f>
        <v>27.24848484848485</v>
      </c>
      <c r="AL11" s="142">
        <v>1240.2</v>
      </c>
      <c r="AM11" s="55">
        <f>AL11/$C11</f>
        <v>37.581818181818186</v>
      </c>
      <c r="AN11" s="142">
        <v>987</v>
      </c>
      <c r="AO11" s="55">
        <f>AN11/C11</f>
        <v>29.90909090909091</v>
      </c>
      <c r="AP11" s="61">
        <f>ROUNDDOWN(AN11*$AP$6,1)</f>
        <v>1480.5</v>
      </c>
      <c r="AQ11" s="142">
        <v>922</v>
      </c>
      <c r="AR11" s="55">
        <f t="shared" ref="AR11:AR18" si="6">AQ11/C11</f>
        <v>27.939393939393938</v>
      </c>
      <c r="AS11" s="61">
        <f>ROUNDDOWN($AQ11*AS$6,1)</f>
        <v>1198.5999999999999</v>
      </c>
      <c r="AT11" s="61">
        <f>ROUNDDOWN($AQ11*AT$6,1)</f>
        <v>1336.9</v>
      </c>
      <c r="AU11" s="56">
        <v>951.9</v>
      </c>
      <c r="AV11" s="55">
        <f>AU11/$C11</f>
        <v>28.845454545454544</v>
      </c>
      <c r="AW11" s="56">
        <v>962.7</v>
      </c>
      <c r="AX11" s="141">
        <f>AW11/C11</f>
        <v>29.172727272727276</v>
      </c>
      <c r="AY11" s="56"/>
      <c r="AZ11" s="55">
        <f>AY11/$C11</f>
        <v>0</v>
      </c>
      <c r="BA11" s="186">
        <f>ROUNDDOWN(BB11*$C11,1)</f>
        <v>936.7</v>
      </c>
      <c r="BB11" s="55">
        <f>RCFs!I$41</f>
        <v>28.387</v>
      </c>
      <c r="BC11" s="4"/>
      <c r="BD11" s="4"/>
      <c r="BE11" s="4"/>
      <c r="BF11" s="4"/>
      <c r="BG11" s="4"/>
      <c r="BH11" s="4"/>
      <c r="BI11" s="4"/>
      <c r="BJ11" s="4"/>
      <c r="BK11" s="4"/>
      <c r="BL11" s="4"/>
      <c r="BM11" s="66"/>
      <c r="BN11" s="66"/>
      <c r="BO11" s="66"/>
      <c r="BP11" s="66"/>
      <c r="BQ11" s="66"/>
      <c r="BR11" s="66"/>
      <c r="BS11" s="66"/>
      <c r="BT11" s="66"/>
      <c r="BU11" s="66"/>
      <c r="BV11" s="66"/>
    </row>
    <row r="12" spans="1:74" s="67" customFormat="1" x14ac:dyDescent="0.2">
      <c r="A12" s="68" t="s">
        <v>4</v>
      </c>
      <c r="B12" s="63" t="s">
        <v>26</v>
      </c>
      <c r="C12" s="64">
        <v>15</v>
      </c>
      <c r="D12" s="56">
        <f t="shared" si="0"/>
        <v>1022.1284249999999</v>
      </c>
      <c r="E12" s="141">
        <f>RCFs!$C$43</f>
        <v>68.141894999999991</v>
      </c>
      <c r="F12" s="142">
        <f t="shared" ref="F12:F37" si="7">ROUNDDOWN((H12/1.039),1)</f>
        <v>399.9</v>
      </c>
      <c r="G12" s="55">
        <f t="shared" ref="G12:G23" si="8">F12/C12</f>
        <v>26.66</v>
      </c>
      <c r="H12" s="142">
        <v>415.5</v>
      </c>
      <c r="I12" s="55">
        <f t="shared" ref="I12:I37" si="9">H12/C12</f>
        <v>27.7</v>
      </c>
      <c r="J12" s="65">
        <f t="shared" si="1"/>
        <v>457.1</v>
      </c>
      <c r="K12" s="65">
        <f t="shared" si="1"/>
        <v>569.20000000000005</v>
      </c>
      <c r="L12" s="65">
        <f t="shared" si="1"/>
        <v>610.79999999999995</v>
      </c>
      <c r="M12" s="65">
        <f t="shared" si="1"/>
        <v>673.1</v>
      </c>
      <c r="N12" s="65">
        <f t="shared" si="1"/>
        <v>831</v>
      </c>
      <c r="O12" s="65">
        <f t="shared" si="1"/>
        <v>893.3</v>
      </c>
      <c r="P12" s="65">
        <f t="shared" si="1"/>
        <v>1246.5</v>
      </c>
      <c r="Q12" s="56">
        <v>427.7</v>
      </c>
      <c r="R12" s="55">
        <f t="shared" ref="R12:R37" si="10">Q12/C12</f>
        <v>28.513333333333332</v>
      </c>
      <c r="S12" s="65">
        <f t="shared" ref="S12:T38" si="11">ROUNDDOWN($Q12*S$6,1)</f>
        <v>556</v>
      </c>
      <c r="T12" s="65">
        <f t="shared" si="11"/>
        <v>641.5</v>
      </c>
      <c r="U12" s="56">
        <v>280.10000000000002</v>
      </c>
      <c r="V12" s="55">
        <f t="shared" ref="V12:V37" si="12">U12/C12</f>
        <v>18.673333333333336</v>
      </c>
      <c r="W12" s="56">
        <v>298.60000000000002</v>
      </c>
      <c r="X12" s="55">
        <f t="shared" si="2"/>
        <v>19.90666666666667</v>
      </c>
      <c r="Y12" s="65">
        <f t="shared" si="3"/>
        <v>328.5</v>
      </c>
      <c r="Z12" s="65">
        <f t="shared" si="3"/>
        <v>409.1</v>
      </c>
      <c r="AA12" s="65">
        <f t="shared" si="3"/>
        <v>483.7</v>
      </c>
      <c r="AB12" s="65">
        <f t="shared" si="3"/>
        <v>438.9</v>
      </c>
      <c r="AC12" s="65">
        <f t="shared" si="3"/>
        <v>648</v>
      </c>
      <c r="AD12" s="65">
        <f t="shared" si="3"/>
        <v>895.8</v>
      </c>
      <c r="AE12" s="56">
        <v>401.2</v>
      </c>
      <c r="AF12" s="55">
        <f t="shared" si="4"/>
        <v>26.746666666666666</v>
      </c>
      <c r="AG12" s="61">
        <f t="shared" si="5"/>
        <v>662</v>
      </c>
      <c r="AH12" s="61">
        <f t="shared" si="5"/>
        <v>842.5</v>
      </c>
      <c r="AI12" s="61">
        <f t="shared" si="5"/>
        <v>1203.5999999999999</v>
      </c>
      <c r="AJ12" s="142">
        <v>408.8</v>
      </c>
      <c r="AK12" s="55">
        <f>AJ12/$C12</f>
        <v>27.253333333333334</v>
      </c>
      <c r="AL12" s="142">
        <v>563.6</v>
      </c>
      <c r="AM12" s="55">
        <f t="shared" ref="AM12:AM37" si="13">AL12/$C12</f>
        <v>37.573333333333338</v>
      </c>
      <c r="AN12" s="142">
        <v>448</v>
      </c>
      <c r="AO12" s="55">
        <f t="shared" ref="AO12:AO37" si="14">AN12/C12</f>
        <v>29.866666666666667</v>
      </c>
      <c r="AP12" s="61">
        <f t="shared" ref="AP12:AP37" si="15">ROUNDDOWN(AN12*$AP$6,1)</f>
        <v>672</v>
      </c>
      <c r="AQ12" s="142">
        <v>418.8</v>
      </c>
      <c r="AR12" s="55">
        <f t="shared" si="6"/>
        <v>27.92</v>
      </c>
      <c r="AS12" s="61">
        <f t="shared" ref="AS12:AT38" si="16">ROUNDDOWN($AQ12*AS$6,1)</f>
        <v>544.4</v>
      </c>
      <c r="AT12" s="61">
        <f t="shared" si="16"/>
        <v>607.20000000000005</v>
      </c>
      <c r="AU12" s="56">
        <v>433</v>
      </c>
      <c r="AV12" s="55">
        <f t="shared" ref="AV12:AV37" si="17">AU12/$C12</f>
        <v>28.866666666666667</v>
      </c>
      <c r="AW12" s="56">
        <v>437.6</v>
      </c>
      <c r="AX12" s="141">
        <f t="shared" ref="AX12:AX31" si="18">AW12/C12</f>
        <v>29.173333333333336</v>
      </c>
      <c r="AY12" s="56"/>
      <c r="AZ12" s="55">
        <f t="shared" ref="AZ12:AZ37" si="19">AY12/$C12</f>
        <v>0</v>
      </c>
      <c r="BA12" s="186">
        <f t="shared" ref="BA12:BA22" si="20">ROUNDDOWN(BB12*$C12,1)</f>
        <v>425.8</v>
      </c>
      <c r="BB12" s="55">
        <f>RCFs!I$41</f>
        <v>28.387</v>
      </c>
      <c r="BC12" s="4"/>
      <c r="BD12" s="4"/>
      <c r="BE12" s="4"/>
      <c r="BF12" s="4"/>
      <c r="BG12" s="4"/>
      <c r="BH12" s="4"/>
      <c r="BI12" s="4"/>
      <c r="BJ12" s="4"/>
      <c r="BK12" s="4"/>
      <c r="BL12" s="4"/>
      <c r="BM12" s="66"/>
      <c r="BN12" s="66"/>
      <c r="BO12" s="66"/>
      <c r="BP12" s="66"/>
      <c r="BQ12" s="66"/>
      <c r="BR12" s="66"/>
      <c r="BS12" s="66"/>
      <c r="BT12" s="66"/>
      <c r="BU12" s="66"/>
      <c r="BV12" s="66"/>
    </row>
    <row r="13" spans="1:74" s="67" customFormat="1" x14ac:dyDescent="0.2">
      <c r="A13" s="68" t="s">
        <v>101</v>
      </c>
      <c r="B13" s="63" t="s">
        <v>102</v>
      </c>
      <c r="C13" s="64">
        <v>22.5</v>
      </c>
      <c r="D13" s="56">
        <f t="shared" si="0"/>
        <v>1533.1926374999998</v>
      </c>
      <c r="E13" s="141">
        <f>RCFs!$C$43</f>
        <v>68.141894999999991</v>
      </c>
      <c r="F13" s="142">
        <f t="shared" si="7"/>
        <v>600</v>
      </c>
      <c r="G13" s="55">
        <f t="shared" si="8"/>
        <v>26.666666666666668</v>
      </c>
      <c r="H13" s="142">
        <v>623.5</v>
      </c>
      <c r="I13" s="55">
        <f t="shared" si="9"/>
        <v>27.711111111111112</v>
      </c>
      <c r="J13" s="65">
        <f t="shared" si="1"/>
        <v>685.9</v>
      </c>
      <c r="K13" s="65">
        <f t="shared" si="1"/>
        <v>854.2</v>
      </c>
      <c r="L13" s="65">
        <f t="shared" si="1"/>
        <v>916.5</v>
      </c>
      <c r="M13" s="65">
        <f t="shared" si="1"/>
        <v>1010.1</v>
      </c>
      <c r="N13" s="65">
        <f t="shared" si="1"/>
        <v>1247</v>
      </c>
      <c r="O13" s="65">
        <f t="shared" si="1"/>
        <v>1340.5</v>
      </c>
      <c r="P13" s="65">
        <f t="shared" si="1"/>
        <v>1870.5</v>
      </c>
      <c r="Q13" s="56">
        <v>641.9</v>
      </c>
      <c r="R13" s="55">
        <f t="shared" si="10"/>
        <v>28.528888888888886</v>
      </c>
      <c r="S13" s="65">
        <f t="shared" si="11"/>
        <v>834.4</v>
      </c>
      <c r="T13" s="65">
        <f t="shared" si="11"/>
        <v>962.8</v>
      </c>
      <c r="U13" s="56">
        <v>420.6</v>
      </c>
      <c r="V13" s="55">
        <f t="shared" si="12"/>
        <v>18.693333333333335</v>
      </c>
      <c r="W13" s="56">
        <v>447.8</v>
      </c>
      <c r="X13" s="55">
        <f t="shared" si="2"/>
        <v>19.902222222222221</v>
      </c>
      <c r="Y13" s="65">
        <f t="shared" si="3"/>
        <v>492.6</v>
      </c>
      <c r="Z13" s="65">
        <f t="shared" si="3"/>
        <v>613.5</v>
      </c>
      <c r="AA13" s="65">
        <f t="shared" si="3"/>
        <v>725.4</v>
      </c>
      <c r="AB13" s="65">
        <f t="shared" si="3"/>
        <v>658.3</v>
      </c>
      <c r="AC13" s="65">
        <f t="shared" si="3"/>
        <v>971.7</v>
      </c>
      <c r="AD13" s="65">
        <f t="shared" si="3"/>
        <v>1343.4</v>
      </c>
      <c r="AE13" s="56">
        <v>602</v>
      </c>
      <c r="AF13" s="55">
        <f t="shared" si="4"/>
        <v>26.755555555555556</v>
      </c>
      <c r="AG13" s="61">
        <f t="shared" si="5"/>
        <v>993.3</v>
      </c>
      <c r="AH13" s="61">
        <f t="shared" si="5"/>
        <v>1264.2</v>
      </c>
      <c r="AI13" s="61">
        <f t="shared" si="5"/>
        <v>1806</v>
      </c>
      <c r="AJ13" s="142">
        <v>597.9</v>
      </c>
      <c r="AK13" s="55">
        <f t="shared" ref="AK13:AK37" si="21">AJ13/$C13</f>
        <v>26.573333333333331</v>
      </c>
      <c r="AL13" s="142">
        <v>824.6</v>
      </c>
      <c r="AM13" s="55">
        <f t="shared" si="13"/>
        <v>36.648888888888891</v>
      </c>
      <c r="AN13" s="142">
        <v>672.8</v>
      </c>
      <c r="AO13" s="55">
        <f t="shared" si="14"/>
        <v>29.902222222222221</v>
      </c>
      <c r="AP13" s="61">
        <f t="shared" si="15"/>
        <v>1009.2</v>
      </c>
      <c r="AQ13" s="142">
        <v>628.5</v>
      </c>
      <c r="AR13" s="55">
        <f t="shared" si="6"/>
        <v>27.933333333333334</v>
      </c>
      <c r="AS13" s="61">
        <f t="shared" si="16"/>
        <v>817</v>
      </c>
      <c r="AT13" s="61">
        <f t="shared" si="16"/>
        <v>911.3</v>
      </c>
      <c r="AU13" s="56">
        <v>649.6</v>
      </c>
      <c r="AV13" s="55">
        <f t="shared" si="17"/>
        <v>28.871111111111112</v>
      </c>
      <c r="AW13" s="142">
        <v>656.4</v>
      </c>
      <c r="AX13" s="141">
        <f t="shared" si="18"/>
        <v>29.173333333333332</v>
      </c>
      <c r="AY13" s="56"/>
      <c r="AZ13" s="55">
        <f t="shared" si="19"/>
        <v>0</v>
      </c>
      <c r="BA13" s="186">
        <f t="shared" si="20"/>
        <v>638.70000000000005</v>
      </c>
      <c r="BB13" s="55">
        <f>RCFs!I$41</f>
        <v>28.387</v>
      </c>
      <c r="BC13" s="4"/>
      <c r="BD13" s="4"/>
      <c r="BE13" s="4"/>
      <c r="BF13" s="4"/>
      <c r="BG13" s="4"/>
      <c r="BH13" s="4"/>
      <c r="BI13" s="4"/>
      <c r="BJ13" s="4"/>
      <c r="BK13" s="4"/>
      <c r="BL13" s="4"/>
      <c r="BM13" s="66"/>
      <c r="BN13" s="66"/>
      <c r="BO13" s="66"/>
      <c r="BP13" s="66"/>
      <c r="BQ13" s="66"/>
      <c r="BR13" s="66"/>
      <c r="BS13" s="66"/>
      <c r="BT13" s="66"/>
      <c r="BU13" s="66"/>
      <c r="BV13" s="66"/>
    </row>
    <row r="14" spans="1:74" s="153" customFormat="1" x14ac:dyDescent="0.2">
      <c r="A14" s="143" t="s">
        <v>101</v>
      </c>
      <c r="B14" s="144" t="s">
        <v>167</v>
      </c>
      <c r="C14" s="145">
        <v>22.5</v>
      </c>
      <c r="D14" s="146">
        <f t="shared" si="0"/>
        <v>0</v>
      </c>
      <c r="E14" s="154">
        <v>0</v>
      </c>
      <c r="F14" s="142">
        <f t="shared" si="7"/>
        <v>0</v>
      </c>
      <c r="G14" s="55">
        <f t="shared" si="8"/>
        <v>0</v>
      </c>
      <c r="H14" s="148"/>
      <c r="I14" s="147">
        <v>0</v>
      </c>
      <c r="J14" s="149">
        <f t="shared" si="1"/>
        <v>0</v>
      </c>
      <c r="K14" s="149">
        <f t="shared" si="1"/>
        <v>0</v>
      </c>
      <c r="L14" s="149">
        <f t="shared" si="1"/>
        <v>0</v>
      </c>
      <c r="M14" s="149">
        <f t="shared" si="1"/>
        <v>0</v>
      </c>
      <c r="N14" s="149">
        <f t="shared" si="1"/>
        <v>0</v>
      </c>
      <c r="O14" s="149">
        <f t="shared" si="1"/>
        <v>0</v>
      </c>
      <c r="P14" s="149">
        <f t="shared" si="1"/>
        <v>0</v>
      </c>
      <c r="Q14" s="148">
        <v>0</v>
      </c>
      <c r="R14" s="154">
        <f t="shared" si="10"/>
        <v>0</v>
      </c>
      <c r="S14" s="302">
        <f t="shared" si="11"/>
        <v>0</v>
      </c>
      <c r="T14" s="302">
        <f t="shared" si="11"/>
        <v>0</v>
      </c>
      <c r="U14" s="148">
        <v>447.8</v>
      </c>
      <c r="V14" s="154">
        <f t="shared" si="12"/>
        <v>19.902222222222221</v>
      </c>
      <c r="W14" s="148">
        <v>613.5</v>
      </c>
      <c r="X14" s="147">
        <f t="shared" si="2"/>
        <v>27.266666666666666</v>
      </c>
      <c r="Y14" s="149">
        <f t="shared" ref="Y14:Z21" si="22">ROUND($C14*$X14*Y$6,1)</f>
        <v>674.9</v>
      </c>
      <c r="Z14" s="149">
        <f t="shared" si="22"/>
        <v>840.5</v>
      </c>
      <c r="AA14" s="149">
        <v>0</v>
      </c>
      <c r="AB14" s="149">
        <f t="shared" ref="AB14:AD23" si="23">ROUND($C14*$X14*AB$6,1)</f>
        <v>901.8</v>
      </c>
      <c r="AC14" s="149">
        <f t="shared" si="23"/>
        <v>1331.3</v>
      </c>
      <c r="AD14" s="149">
        <f t="shared" si="23"/>
        <v>1840.5</v>
      </c>
      <c r="AE14" s="146">
        <v>0</v>
      </c>
      <c r="AF14" s="147">
        <f t="shared" si="4"/>
        <v>0</v>
      </c>
      <c r="AG14" s="150">
        <f t="shared" si="5"/>
        <v>0</v>
      </c>
      <c r="AH14" s="150">
        <f t="shared" si="5"/>
        <v>0</v>
      </c>
      <c r="AI14" s="150">
        <f t="shared" si="5"/>
        <v>0</v>
      </c>
      <c r="AJ14" s="148"/>
      <c r="AK14" s="147">
        <v>0</v>
      </c>
      <c r="AL14" s="148">
        <v>0</v>
      </c>
      <c r="AM14" s="147">
        <v>0</v>
      </c>
      <c r="AN14" s="56"/>
      <c r="AO14" s="55">
        <f t="shared" si="14"/>
        <v>0</v>
      </c>
      <c r="AP14" s="150">
        <f t="shared" si="15"/>
        <v>0</v>
      </c>
      <c r="AQ14" s="148">
        <v>0</v>
      </c>
      <c r="AR14" s="147">
        <f t="shared" si="6"/>
        <v>0</v>
      </c>
      <c r="AS14" s="150">
        <f t="shared" si="16"/>
        <v>0</v>
      </c>
      <c r="AT14" s="150">
        <f t="shared" si="16"/>
        <v>0</v>
      </c>
      <c r="AU14" s="146">
        <v>0</v>
      </c>
      <c r="AV14" s="147">
        <f t="shared" si="17"/>
        <v>0</v>
      </c>
      <c r="AW14" s="146"/>
      <c r="AX14" s="141">
        <f t="shared" si="18"/>
        <v>0</v>
      </c>
      <c r="AY14" s="56">
        <v>0</v>
      </c>
      <c r="AZ14" s="147">
        <f t="shared" si="19"/>
        <v>0</v>
      </c>
      <c r="BA14" s="186">
        <f t="shared" si="20"/>
        <v>0</v>
      </c>
      <c r="BB14" s="147">
        <v>0</v>
      </c>
      <c r="BC14" s="151"/>
      <c r="BD14" s="151"/>
      <c r="BE14" s="151"/>
      <c r="BF14" s="151"/>
      <c r="BG14" s="151"/>
      <c r="BH14" s="151"/>
      <c r="BI14" s="151"/>
      <c r="BJ14" s="151"/>
      <c r="BK14" s="151"/>
      <c r="BL14" s="151"/>
      <c r="BM14" s="152"/>
      <c r="BN14" s="152"/>
      <c r="BO14" s="152"/>
      <c r="BP14" s="152"/>
      <c r="BQ14" s="152"/>
      <c r="BR14" s="152"/>
      <c r="BS14" s="152"/>
      <c r="BT14" s="152"/>
      <c r="BU14" s="152"/>
      <c r="BV14" s="152"/>
    </row>
    <row r="15" spans="1:74" s="67" customFormat="1" x14ac:dyDescent="0.2">
      <c r="A15" s="68" t="s">
        <v>16</v>
      </c>
      <c r="B15" s="63" t="s">
        <v>27</v>
      </c>
      <c r="C15" s="64">
        <v>45</v>
      </c>
      <c r="D15" s="56">
        <f t="shared" si="0"/>
        <v>3066.3852749999996</v>
      </c>
      <c r="E15" s="141">
        <f>RCFs!$C$43</f>
        <v>68.141894999999991</v>
      </c>
      <c r="F15" s="142">
        <f t="shared" si="7"/>
        <v>1200</v>
      </c>
      <c r="G15" s="55">
        <f t="shared" si="8"/>
        <v>26.666666666666668</v>
      </c>
      <c r="H15" s="142">
        <v>1246.9000000000001</v>
      </c>
      <c r="I15" s="55">
        <f t="shared" si="9"/>
        <v>27.70888888888889</v>
      </c>
      <c r="J15" s="65">
        <f t="shared" si="1"/>
        <v>1371.6</v>
      </c>
      <c r="K15" s="65">
        <f t="shared" si="1"/>
        <v>1708.3</v>
      </c>
      <c r="L15" s="65">
        <f t="shared" si="1"/>
        <v>1832.9</v>
      </c>
      <c r="M15" s="65">
        <f t="shared" si="1"/>
        <v>2020</v>
      </c>
      <c r="N15" s="65">
        <f t="shared" si="1"/>
        <v>2493.8000000000002</v>
      </c>
      <c r="O15" s="65">
        <f t="shared" si="1"/>
        <v>2680.8</v>
      </c>
      <c r="P15" s="65">
        <f t="shared" si="1"/>
        <v>3740.7</v>
      </c>
      <c r="Q15" s="56">
        <v>1283.2</v>
      </c>
      <c r="R15" s="55">
        <f t="shared" si="10"/>
        <v>28.515555555555558</v>
      </c>
      <c r="S15" s="65">
        <f t="shared" si="11"/>
        <v>1668.1</v>
      </c>
      <c r="T15" s="65">
        <f t="shared" si="11"/>
        <v>1924.8</v>
      </c>
      <c r="U15" s="56">
        <v>1173.2</v>
      </c>
      <c r="V15" s="55">
        <f t="shared" si="12"/>
        <v>26.071111111111112</v>
      </c>
      <c r="W15" s="56">
        <v>1249.5999999999999</v>
      </c>
      <c r="X15" s="55">
        <f t="shared" si="2"/>
        <v>27.768888888888888</v>
      </c>
      <c r="Y15" s="65">
        <f t="shared" si="22"/>
        <v>1374.6</v>
      </c>
      <c r="Z15" s="65">
        <f t="shared" si="22"/>
        <v>1712</v>
      </c>
      <c r="AA15" s="65">
        <f t="shared" ref="AA15:AA23" si="24">ROUND($C15*$X15*AA$6,1)</f>
        <v>2024.4</v>
      </c>
      <c r="AB15" s="65">
        <f t="shared" si="23"/>
        <v>1836.9</v>
      </c>
      <c r="AC15" s="65">
        <f t="shared" si="23"/>
        <v>2711.6</v>
      </c>
      <c r="AD15" s="65">
        <f t="shared" si="23"/>
        <v>3748.8</v>
      </c>
      <c r="AE15" s="56">
        <v>1204</v>
      </c>
      <c r="AF15" s="55">
        <f t="shared" si="4"/>
        <v>26.755555555555556</v>
      </c>
      <c r="AG15" s="61">
        <f t="shared" si="5"/>
        <v>1986.6</v>
      </c>
      <c r="AH15" s="61">
        <f t="shared" si="5"/>
        <v>2528.4</v>
      </c>
      <c r="AI15" s="61">
        <f t="shared" si="5"/>
        <v>3612</v>
      </c>
      <c r="AJ15" s="142">
        <v>1226.3</v>
      </c>
      <c r="AK15" s="55">
        <f t="shared" si="21"/>
        <v>27.251111111111111</v>
      </c>
      <c r="AL15" s="142">
        <v>1691.5</v>
      </c>
      <c r="AM15" s="55">
        <f t="shared" si="13"/>
        <v>37.588888888888889</v>
      </c>
      <c r="AN15" s="142">
        <v>1345.3</v>
      </c>
      <c r="AO15" s="55">
        <f t="shared" si="14"/>
        <v>29.895555555555553</v>
      </c>
      <c r="AP15" s="61">
        <f t="shared" si="15"/>
        <v>2017.9</v>
      </c>
      <c r="AQ15" s="142">
        <v>1257.4000000000001</v>
      </c>
      <c r="AR15" s="55">
        <f t="shared" si="6"/>
        <v>27.942222222222224</v>
      </c>
      <c r="AS15" s="61">
        <f t="shared" si="16"/>
        <v>1634.6</v>
      </c>
      <c r="AT15" s="61">
        <f t="shared" si="16"/>
        <v>1823.2</v>
      </c>
      <c r="AU15" s="56">
        <v>1298.4000000000001</v>
      </c>
      <c r="AV15" s="55">
        <f t="shared" si="17"/>
        <v>28.853333333333335</v>
      </c>
      <c r="AW15" s="56">
        <v>1312.8</v>
      </c>
      <c r="AX15" s="141">
        <f t="shared" si="18"/>
        <v>29.173333333333332</v>
      </c>
      <c r="AY15" s="56"/>
      <c r="AZ15" s="55">
        <f t="shared" si="19"/>
        <v>0</v>
      </c>
      <c r="BA15" s="186">
        <f t="shared" si="20"/>
        <v>1277.4000000000001</v>
      </c>
      <c r="BB15" s="55">
        <f>RCFs!I$41</f>
        <v>28.387</v>
      </c>
      <c r="BC15" s="4"/>
      <c r="BD15" s="4"/>
      <c r="BE15" s="4"/>
      <c r="BF15" s="4"/>
      <c r="BG15" s="4"/>
      <c r="BH15" s="4"/>
      <c r="BI15" s="4"/>
      <c r="BJ15" s="4"/>
      <c r="BK15" s="4"/>
      <c r="BL15" s="4"/>
      <c r="BM15" s="66"/>
      <c r="BN15" s="66"/>
      <c r="BO15" s="66"/>
      <c r="BP15" s="66"/>
      <c r="BQ15" s="66"/>
      <c r="BR15" s="66"/>
      <c r="BS15" s="66"/>
      <c r="BT15" s="66"/>
      <c r="BU15" s="66"/>
      <c r="BV15" s="66"/>
    </row>
    <row r="16" spans="1:74" s="67" customFormat="1" x14ac:dyDescent="0.2">
      <c r="A16" s="68" t="s">
        <v>5</v>
      </c>
      <c r="B16" s="63" t="s">
        <v>6</v>
      </c>
      <c r="C16" s="64">
        <v>15</v>
      </c>
      <c r="D16" s="56">
        <f t="shared" si="0"/>
        <v>1022.1284249999999</v>
      </c>
      <c r="E16" s="141">
        <f>RCFs!$C$43</f>
        <v>68.141894999999991</v>
      </c>
      <c r="F16" s="142">
        <f t="shared" si="7"/>
        <v>399.9</v>
      </c>
      <c r="G16" s="55">
        <f t="shared" si="8"/>
        <v>26.66</v>
      </c>
      <c r="H16" s="142">
        <v>415.5</v>
      </c>
      <c r="I16" s="55">
        <f t="shared" si="9"/>
        <v>27.7</v>
      </c>
      <c r="J16" s="65">
        <f t="shared" si="1"/>
        <v>457.1</v>
      </c>
      <c r="K16" s="65">
        <f t="shared" si="1"/>
        <v>569.20000000000005</v>
      </c>
      <c r="L16" s="65">
        <f t="shared" si="1"/>
        <v>610.79999999999995</v>
      </c>
      <c r="M16" s="65">
        <f t="shared" si="1"/>
        <v>673.1</v>
      </c>
      <c r="N16" s="65">
        <f t="shared" si="1"/>
        <v>831</v>
      </c>
      <c r="O16" s="65">
        <f t="shared" si="1"/>
        <v>893.3</v>
      </c>
      <c r="P16" s="65">
        <f t="shared" si="1"/>
        <v>1246.5</v>
      </c>
      <c r="Q16" s="56">
        <v>427.7</v>
      </c>
      <c r="R16" s="55">
        <f t="shared" si="10"/>
        <v>28.513333333333332</v>
      </c>
      <c r="S16" s="65">
        <f t="shared" si="11"/>
        <v>556</v>
      </c>
      <c r="T16" s="65">
        <f t="shared" si="11"/>
        <v>641.5</v>
      </c>
      <c r="U16" s="56">
        <v>391</v>
      </c>
      <c r="V16" s="55">
        <f t="shared" si="12"/>
        <v>26.066666666666666</v>
      </c>
      <c r="W16" s="56">
        <v>416.4</v>
      </c>
      <c r="X16" s="55">
        <f t="shared" si="2"/>
        <v>27.759999999999998</v>
      </c>
      <c r="Y16" s="65">
        <f t="shared" si="22"/>
        <v>458</v>
      </c>
      <c r="Z16" s="65">
        <f t="shared" si="22"/>
        <v>570.5</v>
      </c>
      <c r="AA16" s="65">
        <f t="shared" si="24"/>
        <v>674.6</v>
      </c>
      <c r="AB16" s="65">
        <f t="shared" si="23"/>
        <v>612.1</v>
      </c>
      <c r="AC16" s="65">
        <f t="shared" si="23"/>
        <v>903.6</v>
      </c>
      <c r="AD16" s="65">
        <f t="shared" si="23"/>
        <v>1249.2</v>
      </c>
      <c r="AE16" s="56">
        <v>401.2</v>
      </c>
      <c r="AF16" s="55">
        <f t="shared" si="4"/>
        <v>26.746666666666666</v>
      </c>
      <c r="AG16" s="61">
        <f t="shared" si="5"/>
        <v>662</v>
      </c>
      <c r="AH16" s="61">
        <f t="shared" si="5"/>
        <v>842.5</v>
      </c>
      <c r="AI16" s="61">
        <f t="shared" si="5"/>
        <v>1203.5999999999999</v>
      </c>
      <c r="AJ16" s="142">
        <v>408.8</v>
      </c>
      <c r="AK16" s="55">
        <f t="shared" si="21"/>
        <v>27.253333333333334</v>
      </c>
      <c r="AL16" s="142">
        <v>563.6</v>
      </c>
      <c r="AM16" s="55">
        <f t="shared" si="13"/>
        <v>37.573333333333338</v>
      </c>
      <c r="AN16" s="142">
        <v>448</v>
      </c>
      <c r="AO16" s="55">
        <f t="shared" si="14"/>
        <v>29.866666666666667</v>
      </c>
      <c r="AP16" s="61">
        <f t="shared" si="15"/>
        <v>672</v>
      </c>
      <c r="AQ16" s="142">
        <v>418.8</v>
      </c>
      <c r="AR16" s="55">
        <f t="shared" si="6"/>
        <v>27.92</v>
      </c>
      <c r="AS16" s="61">
        <f t="shared" si="16"/>
        <v>544.4</v>
      </c>
      <c r="AT16" s="61">
        <f t="shared" si="16"/>
        <v>607.20000000000005</v>
      </c>
      <c r="AU16" s="56">
        <v>433</v>
      </c>
      <c r="AV16" s="55">
        <f t="shared" si="17"/>
        <v>28.866666666666667</v>
      </c>
      <c r="AW16" s="56">
        <v>437.6</v>
      </c>
      <c r="AX16" s="141">
        <f t="shared" si="18"/>
        <v>29.173333333333336</v>
      </c>
      <c r="AY16" s="56"/>
      <c r="AZ16" s="55">
        <f t="shared" si="19"/>
        <v>0</v>
      </c>
      <c r="BA16" s="186">
        <f t="shared" si="20"/>
        <v>425.8</v>
      </c>
      <c r="BB16" s="55">
        <f>RCFs!I$41</f>
        <v>28.387</v>
      </c>
      <c r="BC16" s="4"/>
      <c r="BD16" s="4"/>
      <c r="BE16" s="4"/>
      <c r="BF16" s="4"/>
      <c r="BG16" s="4"/>
      <c r="BH16" s="4"/>
      <c r="BI16" s="4"/>
      <c r="BJ16" s="4"/>
      <c r="BK16" s="4"/>
      <c r="BL16" s="4"/>
      <c r="BM16" s="66"/>
      <c r="BN16" s="66"/>
      <c r="BO16" s="66"/>
      <c r="BP16" s="66"/>
      <c r="BQ16" s="66"/>
      <c r="BR16" s="66"/>
      <c r="BS16" s="66"/>
      <c r="BT16" s="66"/>
      <c r="BU16" s="66"/>
      <c r="BV16" s="66"/>
    </row>
    <row r="17" spans="1:74" s="67" customFormat="1" x14ac:dyDescent="0.2">
      <c r="A17" s="87" t="s">
        <v>259</v>
      </c>
      <c r="B17" s="243" t="s">
        <v>260</v>
      </c>
      <c r="C17" s="244">
        <v>12</v>
      </c>
      <c r="D17" s="56">
        <f t="shared" ref="D17" si="25">E17*C17</f>
        <v>817.70273999999995</v>
      </c>
      <c r="E17" s="141">
        <f>RCFs!$C$43</f>
        <v>68.141894999999991</v>
      </c>
      <c r="F17" s="142">
        <f t="shared" si="7"/>
        <v>346.5</v>
      </c>
      <c r="G17" s="55">
        <f t="shared" ref="G17" si="26">F17/C17</f>
        <v>28.875</v>
      </c>
      <c r="H17" s="142">
        <v>360.1</v>
      </c>
      <c r="I17" s="55">
        <f t="shared" ref="I17" si="27">H17/C17</f>
        <v>30.008333333333336</v>
      </c>
      <c r="J17" s="65">
        <f t="shared" si="1"/>
        <v>396.1</v>
      </c>
      <c r="K17" s="65">
        <f t="shared" si="1"/>
        <v>493.3</v>
      </c>
      <c r="L17" s="65">
        <f t="shared" si="1"/>
        <v>529.29999999999995</v>
      </c>
      <c r="M17" s="65">
        <f t="shared" si="1"/>
        <v>583.4</v>
      </c>
      <c r="N17" s="65">
        <f t="shared" si="1"/>
        <v>720.2</v>
      </c>
      <c r="O17" s="65">
        <f t="shared" si="1"/>
        <v>774.2</v>
      </c>
      <c r="P17" s="65">
        <f t="shared" si="1"/>
        <v>1080.3</v>
      </c>
      <c r="Q17" s="56">
        <v>513.1</v>
      </c>
      <c r="R17" s="55">
        <f t="shared" ref="R17" si="28">Q17/C17</f>
        <v>42.758333333333333</v>
      </c>
      <c r="S17" s="65">
        <f t="shared" si="11"/>
        <v>667</v>
      </c>
      <c r="T17" s="65">
        <f t="shared" si="11"/>
        <v>769.6</v>
      </c>
      <c r="U17" s="56">
        <v>358.6</v>
      </c>
      <c r="V17" s="55">
        <f t="shared" ref="V17" si="29">U17/C17</f>
        <v>29.883333333333336</v>
      </c>
      <c r="W17" s="56">
        <v>381.9</v>
      </c>
      <c r="X17" s="55">
        <f t="shared" ref="X17" si="30">W17/C17</f>
        <v>31.824999999999999</v>
      </c>
      <c r="Y17" s="65">
        <f t="shared" si="22"/>
        <v>420.1</v>
      </c>
      <c r="Z17" s="65">
        <f t="shared" si="22"/>
        <v>523.20000000000005</v>
      </c>
      <c r="AA17" s="65">
        <f t="shared" si="24"/>
        <v>618.70000000000005</v>
      </c>
      <c r="AB17" s="65">
        <f t="shared" si="23"/>
        <v>561.4</v>
      </c>
      <c r="AC17" s="65">
        <f t="shared" si="23"/>
        <v>828.7</v>
      </c>
      <c r="AD17" s="65">
        <f t="shared" si="23"/>
        <v>1145.7</v>
      </c>
      <c r="AE17" s="56">
        <v>481.4</v>
      </c>
      <c r="AF17" s="55">
        <f t="shared" ref="AF17" si="31">AE17/C17</f>
        <v>40.116666666666667</v>
      </c>
      <c r="AG17" s="61">
        <f t="shared" si="5"/>
        <v>794.3</v>
      </c>
      <c r="AH17" s="61">
        <f t="shared" si="5"/>
        <v>1010.9</v>
      </c>
      <c r="AI17" s="61">
        <f t="shared" si="5"/>
        <v>1444.2</v>
      </c>
      <c r="AJ17" s="142">
        <v>478.4</v>
      </c>
      <c r="AK17" s="55">
        <f t="shared" ref="AK17" si="32">AJ17/$C17</f>
        <v>39.866666666666667</v>
      </c>
      <c r="AL17" s="142">
        <v>659.8</v>
      </c>
      <c r="AM17" s="55">
        <f t="shared" ref="AM17" si="33">AL17/$C17</f>
        <v>54.983333333333327</v>
      </c>
      <c r="AN17" s="142">
        <v>538.29999999999995</v>
      </c>
      <c r="AO17" s="55">
        <f t="shared" si="14"/>
        <v>44.858333333333327</v>
      </c>
      <c r="AP17" s="61">
        <f t="shared" ref="AP17" si="34">ROUNDDOWN(AN17*$AP$6,1)</f>
        <v>807.4</v>
      </c>
      <c r="AQ17" s="142">
        <v>503</v>
      </c>
      <c r="AR17" s="55">
        <f t="shared" ref="AR17" si="35">AQ17/C17</f>
        <v>41.916666666666664</v>
      </c>
      <c r="AS17" s="61">
        <f t="shared" si="16"/>
        <v>653.9</v>
      </c>
      <c r="AT17" s="61">
        <f t="shared" si="16"/>
        <v>729.3</v>
      </c>
      <c r="AU17" s="56">
        <v>519.5</v>
      </c>
      <c r="AV17" s="55">
        <f t="shared" ref="AV17" si="36">AU17/$C17</f>
        <v>43.291666666666664</v>
      </c>
      <c r="AW17" s="56"/>
      <c r="AX17" s="141">
        <f t="shared" si="18"/>
        <v>0</v>
      </c>
      <c r="AY17" s="56"/>
      <c r="AZ17" s="55">
        <f t="shared" ref="AZ17" si="37">AY17/$C17</f>
        <v>0</v>
      </c>
      <c r="BA17" s="186">
        <f t="shared" ref="BA17" si="38">ROUNDDOWN(BB17*$C17,1)</f>
        <v>340.6</v>
      </c>
      <c r="BB17" s="55">
        <f>RCFs!I$41</f>
        <v>28.387</v>
      </c>
      <c r="BC17" s="4"/>
      <c r="BD17" s="4"/>
      <c r="BE17" s="4"/>
      <c r="BF17" s="4"/>
      <c r="BG17" s="4"/>
      <c r="BH17" s="4"/>
      <c r="BI17" s="4"/>
      <c r="BJ17" s="4"/>
      <c r="BK17" s="4"/>
      <c r="BL17" s="4"/>
      <c r="BM17" s="66"/>
      <c r="BN17" s="66"/>
      <c r="BO17" s="66"/>
      <c r="BP17" s="66"/>
      <c r="BQ17" s="66"/>
      <c r="BR17" s="66"/>
      <c r="BS17" s="66"/>
      <c r="BT17" s="66"/>
      <c r="BU17" s="66"/>
      <c r="BV17" s="66"/>
    </row>
    <row r="18" spans="1:74" s="67" customFormat="1" x14ac:dyDescent="0.2">
      <c r="A18" s="245" t="s">
        <v>7</v>
      </c>
      <c r="B18" s="246" t="s">
        <v>8</v>
      </c>
      <c r="C18" s="244">
        <v>5</v>
      </c>
      <c r="D18" s="56">
        <f t="shared" si="0"/>
        <v>340.70947499999994</v>
      </c>
      <c r="E18" s="141">
        <f>RCFs!$C$43</f>
        <v>68.141894999999991</v>
      </c>
      <c r="F18" s="142">
        <f t="shared" si="7"/>
        <v>133.4</v>
      </c>
      <c r="G18" s="55">
        <f t="shared" si="8"/>
        <v>26.68</v>
      </c>
      <c r="H18" s="142">
        <v>138.69999999999999</v>
      </c>
      <c r="I18" s="55">
        <f t="shared" si="9"/>
        <v>27.74</v>
      </c>
      <c r="J18" s="65">
        <f t="shared" si="1"/>
        <v>152.6</v>
      </c>
      <c r="K18" s="65">
        <f t="shared" si="1"/>
        <v>190</v>
      </c>
      <c r="L18" s="65">
        <f t="shared" si="1"/>
        <v>203.9</v>
      </c>
      <c r="M18" s="65">
        <f t="shared" si="1"/>
        <v>224.7</v>
      </c>
      <c r="N18" s="65">
        <f t="shared" si="1"/>
        <v>277.39999999999998</v>
      </c>
      <c r="O18" s="65">
        <f t="shared" si="1"/>
        <v>298.2</v>
      </c>
      <c r="P18" s="65">
        <f t="shared" si="1"/>
        <v>416.1</v>
      </c>
      <c r="Q18" s="56">
        <v>142.9</v>
      </c>
      <c r="R18" s="55">
        <f t="shared" si="10"/>
        <v>28.580000000000002</v>
      </c>
      <c r="S18" s="65">
        <f t="shared" si="11"/>
        <v>185.7</v>
      </c>
      <c r="T18" s="65">
        <f t="shared" si="11"/>
        <v>214.3</v>
      </c>
      <c r="U18" s="56">
        <v>130.19999999999999</v>
      </c>
      <c r="V18" s="55">
        <f t="shared" si="12"/>
        <v>26.04</v>
      </c>
      <c r="W18" s="56">
        <v>138.5</v>
      </c>
      <c r="X18" s="55">
        <f t="shared" si="2"/>
        <v>27.7</v>
      </c>
      <c r="Y18" s="65">
        <f t="shared" si="22"/>
        <v>152.4</v>
      </c>
      <c r="Z18" s="65">
        <f t="shared" si="22"/>
        <v>189.7</v>
      </c>
      <c r="AA18" s="65">
        <f t="shared" si="24"/>
        <v>224.4</v>
      </c>
      <c r="AB18" s="65">
        <f t="shared" si="23"/>
        <v>203.6</v>
      </c>
      <c r="AC18" s="65">
        <f t="shared" si="23"/>
        <v>300.5</v>
      </c>
      <c r="AD18" s="65">
        <f t="shared" si="23"/>
        <v>415.5</v>
      </c>
      <c r="AE18" s="56">
        <v>134.1</v>
      </c>
      <c r="AF18" s="55">
        <f t="shared" si="4"/>
        <v>26.82</v>
      </c>
      <c r="AG18" s="61">
        <f t="shared" si="5"/>
        <v>221.3</v>
      </c>
      <c r="AH18" s="61">
        <f t="shared" si="5"/>
        <v>281.60000000000002</v>
      </c>
      <c r="AI18" s="61">
        <f t="shared" si="5"/>
        <v>402.3</v>
      </c>
      <c r="AJ18" s="142">
        <v>136.30000000000001</v>
      </c>
      <c r="AK18" s="55">
        <f t="shared" si="21"/>
        <v>27.26</v>
      </c>
      <c r="AL18" s="142">
        <v>187.9</v>
      </c>
      <c r="AM18" s="55">
        <f t="shared" si="13"/>
        <v>37.58</v>
      </c>
      <c r="AN18" s="142">
        <v>149.69999999999999</v>
      </c>
      <c r="AO18" s="55">
        <f t="shared" si="14"/>
        <v>29.939999999999998</v>
      </c>
      <c r="AP18" s="61">
        <f t="shared" si="15"/>
        <v>224.5</v>
      </c>
      <c r="AQ18" s="142">
        <v>139.6</v>
      </c>
      <c r="AR18" s="55">
        <f t="shared" si="6"/>
        <v>27.919999999999998</v>
      </c>
      <c r="AS18" s="61">
        <f t="shared" si="16"/>
        <v>181.4</v>
      </c>
      <c r="AT18" s="61">
        <f t="shared" si="16"/>
        <v>202.4</v>
      </c>
      <c r="AU18" s="56">
        <v>260.10000000000002</v>
      </c>
      <c r="AV18" s="55">
        <f t="shared" si="17"/>
        <v>52.02</v>
      </c>
      <c r="AW18" s="56">
        <v>145.9</v>
      </c>
      <c r="AX18" s="141">
        <f t="shared" si="18"/>
        <v>29.18</v>
      </c>
      <c r="AY18" s="56"/>
      <c r="AZ18" s="55">
        <f t="shared" si="19"/>
        <v>0</v>
      </c>
      <c r="BA18" s="186">
        <f t="shared" si="20"/>
        <v>141.9</v>
      </c>
      <c r="BB18" s="55">
        <f>RCFs!I$41</f>
        <v>28.387</v>
      </c>
      <c r="BC18" s="4"/>
      <c r="BD18" s="4"/>
      <c r="BE18" s="4"/>
      <c r="BF18" s="4"/>
      <c r="BG18" s="4"/>
      <c r="BH18" s="4"/>
      <c r="BI18" s="4"/>
      <c r="BJ18" s="4"/>
      <c r="BK18" s="4"/>
      <c r="BL18" s="4"/>
      <c r="BM18" s="66"/>
      <c r="BN18" s="66"/>
      <c r="BO18" s="66"/>
      <c r="BP18" s="66"/>
      <c r="BQ18" s="66"/>
      <c r="BR18" s="66"/>
      <c r="BS18" s="66"/>
      <c r="BT18" s="66"/>
      <c r="BU18" s="66"/>
      <c r="BV18" s="66"/>
    </row>
    <row r="19" spans="1:74" s="67" customFormat="1" x14ac:dyDescent="0.2">
      <c r="A19" s="245" t="s">
        <v>261</v>
      </c>
      <c r="B19" s="63" t="s">
        <v>262</v>
      </c>
      <c r="C19" s="244">
        <v>9</v>
      </c>
      <c r="D19" s="56">
        <f t="shared" ref="D19" si="39">E19*C19</f>
        <v>613.2770549999999</v>
      </c>
      <c r="E19" s="141">
        <f>RCFs!$C$43</f>
        <v>68.141894999999991</v>
      </c>
      <c r="F19" s="142">
        <f t="shared" si="7"/>
        <v>239.9</v>
      </c>
      <c r="G19" s="55">
        <f t="shared" ref="G19" si="40">F19/C19</f>
        <v>26.655555555555555</v>
      </c>
      <c r="H19" s="142">
        <v>249.3</v>
      </c>
      <c r="I19" s="55">
        <f t="shared" ref="I19" si="41">H19/C19</f>
        <v>27.700000000000003</v>
      </c>
      <c r="J19" s="65">
        <f t="shared" si="1"/>
        <v>274.2</v>
      </c>
      <c r="K19" s="65">
        <f t="shared" si="1"/>
        <v>341.5</v>
      </c>
      <c r="L19" s="65">
        <f t="shared" si="1"/>
        <v>366.5</v>
      </c>
      <c r="M19" s="65">
        <f t="shared" si="1"/>
        <v>403.9</v>
      </c>
      <c r="N19" s="65">
        <f t="shared" si="1"/>
        <v>498.6</v>
      </c>
      <c r="O19" s="65">
        <f t="shared" si="1"/>
        <v>536</v>
      </c>
      <c r="P19" s="65">
        <f t="shared" si="1"/>
        <v>747.9</v>
      </c>
      <c r="Q19" s="56">
        <v>256.60000000000002</v>
      </c>
      <c r="R19" s="55">
        <f t="shared" ref="R19" si="42">Q19/C19</f>
        <v>28.511111111111113</v>
      </c>
      <c r="S19" s="65">
        <f t="shared" si="11"/>
        <v>333.5</v>
      </c>
      <c r="T19" s="65">
        <f t="shared" si="11"/>
        <v>384.9</v>
      </c>
      <c r="U19" s="56">
        <v>234.4</v>
      </c>
      <c r="V19" s="55">
        <f t="shared" ref="V19" si="43">U19/C19</f>
        <v>26.044444444444444</v>
      </c>
      <c r="W19" s="56">
        <v>249.4</v>
      </c>
      <c r="X19" s="55">
        <f t="shared" ref="X19" si="44">W19/C19</f>
        <v>27.711111111111112</v>
      </c>
      <c r="Y19" s="65">
        <f t="shared" si="22"/>
        <v>274.3</v>
      </c>
      <c r="Z19" s="65">
        <f t="shared" si="22"/>
        <v>341.7</v>
      </c>
      <c r="AA19" s="65">
        <f t="shared" si="24"/>
        <v>404</v>
      </c>
      <c r="AB19" s="65">
        <f t="shared" si="23"/>
        <v>366.6</v>
      </c>
      <c r="AC19" s="65">
        <f t="shared" si="23"/>
        <v>541.20000000000005</v>
      </c>
      <c r="AD19" s="65">
        <f t="shared" si="23"/>
        <v>748.2</v>
      </c>
      <c r="AE19" s="56">
        <v>240.6</v>
      </c>
      <c r="AF19" s="55">
        <f t="shared" ref="AF19" si="45">AE19/C19</f>
        <v>26.733333333333334</v>
      </c>
      <c r="AG19" s="61">
        <f t="shared" si="5"/>
        <v>397</v>
      </c>
      <c r="AH19" s="61">
        <f t="shared" si="5"/>
        <v>505.3</v>
      </c>
      <c r="AI19" s="61">
        <f t="shared" si="5"/>
        <v>721.8</v>
      </c>
      <c r="AJ19" s="142">
        <v>245.2</v>
      </c>
      <c r="AK19" s="55">
        <f t="shared" ref="AK19" si="46">AJ19/$C19</f>
        <v>27.244444444444444</v>
      </c>
      <c r="AL19" s="142">
        <v>338.1</v>
      </c>
      <c r="AM19" s="55">
        <f t="shared" ref="AM19" si="47">AL19/$C19</f>
        <v>37.56666666666667</v>
      </c>
      <c r="AN19" s="142">
        <v>269</v>
      </c>
      <c r="AO19" s="55">
        <f t="shared" si="14"/>
        <v>29.888888888888889</v>
      </c>
      <c r="AP19" s="61">
        <f t="shared" ref="AP19" si="48">ROUNDDOWN(AN19*$AP$6,1)</f>
        <v>403.5</v>
      </c>
      <c r="AQ19" s="142">
        <v>251.5</v>
      </c>
      <c r="AR19" s="55">
        <f t="shared" ref="AR19" si="49">AQ19/C19</f>
        <v>27.944444444444443</v>
      </c>
      <c r="AS19" s="61">
        <f t="shared" si="16"/>
        <v>326.89999999999998</v>
      </c>
      <c r="AT19" s="61">
        <f t="shared" si="16"/>
        <v>364.6</v>
      </c>
      <c r="AU19" s="56">
        <v>230.8</v>
      </c>
      <c r="AV19" s="55">
        <f t="shared" ref="AV19" si="50">AU19/$C19</f>
        <v>25.644444444444446</v>
      </c>
      <c r="AW19" s="56">
        <v>262.60000000000002</v>
      </c>
      <c r="AX19" s="141">
        <f t="shared" si="18"/>
        <v>29.177777777777781</v>
      </c>
      <c r="AY19" s="56"/>
      <c r="AZ19" s="55">
        <f t="shared" ref="AZ19" si="51">AY19/$C19</f>
        <v>0</v>
      </c>
      <c r="BA19" s="186">
        <f t="shared" ref="BA19" si="52">ROUNDDOWN(BB19*$C19,1)</f>
        <v>255.4</v>
      </c>
      <c r="BB19" s="55">
        <f>RCFs!I$41</f>
        <v>28.387</v>
      </c>
      <c r="BC19" s="4"/>
      <c r="BD19" s="4"/>
      <c r="BE19" s="4"/>
      <c r="BF19" s="4"/>
      <c r="BG19" s="4"/>
      <c r="BH19" s="4"/>
      <c r="BI19" s="4"/>
      <c r="BJ19" s="4"/>
      <c r="BK19" s="4"/>
      <c r="BL19" s="4"/>
      <c r="BM19" s="66"/>
      <c r="BN19" s="66"/>
      <c r="BO19" s="66"/>
      <c r="BP19" s="66"/>
      <c r="BQ19" s="66"/>
      <c r="BR19" s="66"/>
      <c r="BS19" s="66"/>
      <c r="BT19" s="66"/>
      <c r="BU19" s="66"/>
      <c r="BV19" s="66"/>
    </row>
    <row r="20" spans="1:74" s="67" customFormat="1" x14ac:dyDescent="0.2">
      <c r="A20" s="247" t="s">
        <v>263</v>
      </c>
      <c r="B20" s="248" t="s">
        <v>264</v>
      </c>
      <c r="C20" s="249">
        <v>8</v>
      </c>
      <c r="D20" s="56">
        <f t="shared" ref="D20" si="53">E20*C20</f>
        <v>545.13515999999993</v>
      </c>
      <c r="E20" s="141">
        <f>RCFs!$C$43</f>
        <v>68.141894999999991</v>
      </c>
      <c r="F20" s="142">
        <f t="shared" si="7"/>
        <v>0</v>
      </c>
      <c r="G20" s="55">
        <f t="shared" ref="G20" si="54">F20/C20</f>
        <v>0</v>
      </c>
      <c r="H20" s="142">
        <v>0</v>
      </c>
      <c r="I20" s="55">
        <f t="shared" ref="I20" si="55">H20/C20</f>
        <v>0</v>
      </c>
      <c r="J20" s="65">
        <f t="shared" si="1"/>
        <v>0</v>
      </c>
      <c r="K20" s="65">
        <f t="shared" si="1"/>
        <v>0</v>
      </c>
      <c r="L20" s="65">
        <f t="shared" si="1"/>
        <v>0</v>
      </c>
      <c r="M20" s="65">
        <f t="shared" si="1"/>
        <v>0</v>
      </c>
      <c r="N20" s="65">
        <f t="shared" si="1"/>
        <v>0</v>
      </c>
      <c r="O20" s="65">
        <f t="shared" si="1"/>
        <v>0</v>
      </c>
      <c r="P20" s="65">
        <f t="shared" si="1"/>
        <v>0</v>
      </c>
      <c r="Q20" s="252">
        <f>Q22</f>
        <v>228.1</v>
      </c>
      <c r="R20" s="55">
        <f t="shared" ref="R20" si="56">Q20/C20</f>
        <v>28.512499999999999</v>
      </c>
      <c r="S20" s="65">
        <f t="shared" si="11"/>
        <v>296.5</v>
      </c>
      <c r="T20" s="65">
        <f t="shared" si="11"/>
        <v>342.1</v>
      </c>
      <c r="U20" s="252">
        <f>U22</f>
        <v>208.7</v>
      </c>
      <c r="V20" s="55">
        <f t="shared" ref="V20" si="57">U20/C20</f>
        <v>26.087499999999999</v>
      </c>
      <c r="W20" s="252">
        <f>W22</f>
        <v>222.2</v>
      </c>
      <c r="X20" s="55">
        <f t="shared" ref="X20" si="58">W20/C20</f>
        <v>27.774999999999999</v>
      </c>
      <c r="Y20" s="65">
        <f t="shared" si="22"/>
        <v>244.4</v>
      </c>
      <c r="Z20" s="65">
        <f t="shared" si="22"/>
        <v>304.39999999999998</v>
      </c>
      <c r="AA20" s="65">
        <f t="shared" si="24"/>
        <v>360</v>
      </c>
      <c r="AB20" s="65">
        <f t="shared" si="23"/>
        <v>326.60000000000002</v>
      </c>
      <c r="AC20" s="65">
        <f t="shared" si="23"/>
        <v>482.2</v>
      </c>
      <c r="AD20" s="65">
        <f t="shared" si="23"/>
        <v>666.6</v>
      </c>
      <c r="AE20" s="252">
        <f>AE22</f>
        <v>213.7</v>
      </c>
      <c r="AF20" s="55">
        <f t="shared" ref="AF20" si="59">AE20/C20</f>
        <v>26.712499999999999</v>
      </c>
      <c r="AG20" s="61">
        <f t="shared" si="5"/>
        <v>352.6</v>
      </c>
      <c r="AH20" s="61">
        <f t="shared" si="5"/>
        <v>448.8</v>
      </c>
      <c r="AI20" s="61">
        <f t="shared" si="5"/>
        <v>641.1</v>
      </c>
      <c r="AJ20" s="142"/>
      <c r="AK20" s="55">
        <f t="shared" ref="AK20" si="60">AJ20/$C20</f>
        <v>0</v>
      </c>
      <c r="AL20" s="142">
        <v>1016.1</v>
      </c>
      <c r="AM20" s="55">
        <f t="shared" ref="AM20" si="61">AL20/$C20</f>
        <v>127.0125</v>
      </c>
      <c r="AN20" s="142">
        <v>179.6</v>
      </c>
      <c r="AO20" s="55">
        <f t="shared" si="14"/>
        <v>22.45</v>
      </c>
      <c r="AP20" s="61">
        <f t="shared" ref="AP20" si="62">ROUNDDOWN(AN20*$AP$6,1)</f>
        <v>269.39999999999998</v>
      </c>
      <c r="AQ20" s="142"/>
      <c r="AR20" s="55">
        <f t="shared" ref="AR20" si="63">AQ20/C20</f>
        <v>0</v>
      </c>
      <c r="AS20" s="61">
        <f t="shared" si="16"/>
        <v>0</v>
      </c>
      <c r="AT20" s="61">
        <f t="shared" si="16"/>
        <v>0</v>
      </c>
      <c r="AU20" s="252"/>
      <c r="AV20" s="280">
        <f t="shared" ref="AV20" si="64">AU20/$C20</f>
        <v>0</v>
      </c>
      <c r="AW20" s="252">
        <v>233.4</v>
      </c>
      <c r="AX20" s="141">
        <f t="shared" si="18"/>
        <v>29.175000000000001</v>
      </c>
      <c r="AY20" s="252">
        <f>AY22</f>
        <v>0</v>
      </c>
      <c r="AZ20" s="55">
        <f t="shared" ref="AZ20" si="65">AY20/$C20</f>
        <v>0</v>
      </c>
      <c r="BA20" s="186">
        <f t="shared" ref="BA20" si="66">ROUNDDOWN(BB20*$C20,1)</f>
        <v>227</v>
      </c>
      <c r="BB20" s="55">
        <f>RCFs!I$41</f>
        <v>28.387</v>
      </c>
      <c r="BC20" s="4"/>
      <c r="BD20" s="4"/>
      <c r="BE20" s="4"/>
      <c r="BF20" s="4"/>
      <c r="BG20" s="4"/>
      <c r="BH20" s="4"/>
      <c r="BI20" s="4"/>
      <c r="BJ20" s="4"/>
      <c r="BK20" s="4"/>
      <c r="BL20" s="4"/>
      <c r="BM20" s="66"/>
      <c r="BN20" s="66"/>
      <c r="BO20" s="66"/>
      <c r="BP20" s="66"/>
      <c r="BQ20" s="66"/>
      <c r="BR20" s="66"/>
      <c r="BS20" s="66"/>
      <c r="BT20" s="66"/>
      <c r="BU20" s="66"/>
      <c r="BV20" s="66"/>
    </row>
    <row r="21" spans="1:74" s="67" customFormat="1" x14ac:dyDescent="0.2">
      <c r="A21" s="245" t="s">
        <v>9</v>
      </c>
      <c r="B21" s="250" t="s">
        <v>10</v>
      </c>
      <c r="C21" s="244">
        <v>6</v>
      </c>
      <c r="D21" s="56">
        <f t="shared" si="0"/>
        <v>408.85136999999997</v>
      </c>
      <c r="E21" s="141">
        <f>RCFs!$C$43</f>
        <v>68.141894999999991</v>
      </c>
      <c r="F21" s="142">
        <f t="shared" si="7"/>
        <v>159.9</v>
      </c>
      <c r="G21" s="55">
        <f t="shared" si="8"/>
        <v>26.650000000000002</v>
      </c>
      <c r="H21" s="142">
        <v>166.2</v>
      </c>
      <c r="I21" s="55">
        <f t="shared" si="9"/>
        <v>27.7</v>
      </c>
      <c r="J21" s="65">
        <f t="shared" si="1"/>
        <v>182.8</v>
      </c>
      <c r="K21" s="65">
        <f t="shared" si="1"/>
        <v>227.7</v>
      </c>
      <c r="L21" s="65">
        <f t="shared" si="1"/>
        <v>244.3</v>
      </c>
      <c r="M21" s="65">
        <f t="shared" si="1"/>
        <v>269.2</v>
      </c>
      <c r="N21" s="65">
        <f t="shared" si="1"/>
        <v>332.4</v>
      </c>
      <c r="O21" s="65">
        <f t="shared" si="1"/>
        <v>357.3</v>
      </c>
      <c r="P21" s="65">
        <f t="shared" si="1"/>
        <v>498.6</v>
      </c>
      <c r="Q21" s="183">
        <f>ROUNDDOWN(R21*C21,1)</f>
        <v>171</v>
      </c>
      <c r="R21" s="305">
        <f>R15</f>
        <v>28.515555555555558</v>
      </c>
      <c r="S21" s="65">
        <f t="shared" si="11"/>
        <v>222.3</v>
      </c>
      <c r="T21" s="65">
        <f t="shared" si="11"/>
        <v>256.5</v>
      </c>
      <c r="U21" s="56">
        <v>156.5</v>
      </c>
      <c r="V21" s="55">
        <f t="shared" si="12"/>
        <v>26.083333333333332</v>
      </c>
      <c r="W21" s="56">
        <v>166.7</v>
      </c>
      <c r="X21" s="55">
        <f t="shared" si="2"/>
        <v>27.783333333333331</v>
      </c>
      <c r="Y21" s="65">
        <f t="shared" si="22"/>
        <v>183.4</v>
      </c>
      <c r="Z21" s="65">
        <f t="shared" si="22"/>
        <v>228.4</v>
      </c>
      <c r="AA21" s="65">
        <f t="shared" si="24"/>
        <v>270.10000000000002</v>
      </c>
      <c r="AB21" s="65">
        <f t="shared" si="23"/>
        <v>245</v>
      </c>
      <c r="AC21" s="65">
        <f t="shared" si="23"/>
        <v>361.7</v>
      </c>
      <c r="AD21" s="65">
        <f t="shared" si="23"/>
        <v>500.1</v>
      </c>
      <c r="AE21" s="56">
        <v>160.69999999999999</v>
      </c>
      <c r="AF21" s="55">
        <f t="shared" si="4"/>
        <v>26.783333333333331</v>
      </c>
      <c r="AG21" s="61">
        <f t="shared" si="5"/>
        <v>265.2</v>
      </c>
      <c r="AH21" s="61">
        <f t="shared" si="5"/>
        <v>337.5</v>
      </c>
      <c r="AI21" s="61">
        <f t="shared" si="5"/>
        <v>482.1</v>
      </c>
      <c r="AJ21" s="142">
        <v>163.6</v>
      </c>
      <c r="AK21" s="55">
        <f t="shared" si="21"/>
        <v>27.266666666666666</v>
      </c>
      <c r="AL21" s="142">
        <v>225.8</v>
      </c>
      <c r="AM21" s="55">
        <f t="shared" si="13"/>
        <v>37.633333333333333</v>
      </c>
      <c r="AN21" s="142">
        <v>239.5</v>
      </c>
      <c r="AO21" s="55">
        <f t="shared" si="14"/>
        <v>39.916666666666664</v>
      </c>
      <c r="AP21" s="61">
        <f t="shared" si="15"/>
        <v>359.2</v>
      </c>
      <c r="AQ21" s="186">
        <v>167.7</v>
      </c>
      <c r="AR21" s="55">
        <f>AR12</f>
        <v>27.92</v>
      </c>
      <c r="AS21" s="61">
        <f t="shared" si="16"/>
        <v>218</v>
      </c>
      <c r="AT21" s="61">
        <f t="shared" si="16"/>
        <v>243.1</v>
      </c>
      <c r="AU21" s="56">
        <v>173.3</v>
      </c>
      <c r="AV21" s="55">
        <f t="shared" si="17"/>
        <v>28.883333333333336</v>
      </c>
      <c r="AW21" s="56">
        <v>175</v>
      </c>
      <c r="AX21" s="141">
        <f t="shared" si="18"/>
        <v>29.166666666666668</v>
      </c>
      <c r="AY21" s="56"/>
      <c r="AZ21" s="55">
        <f t="shared" si="19"/>
        <v>0</v>
      </c>
      <c r="BA21" s="186">
        <f t="shared" si="20"/>
        <v>170.3</v>
      </c>
      <c r="BB21" s="55">
        <f>RCFs!I$41</f>
        <v>28.387</v>
      </c>
      <c r="BC21" s="4"/>
      <c r="BD21" s="4"/>
      <c r="BE21" s="4"/>
      <c r="BF21" s="4"/>
      <c r="BG21" s="4"/>
      <c r="BH21" s="4"/>
      <c r="BI21" s="4"/>
      <c r="BJ21" s="4"/>
      <c r="BK21" s="4"/>
      <c r="BL21" s="4"/>
      <c r="BM21" s="66"/>
      <c r="BN21" s="66"/>
      <c r="BO21" s="66"/>
      <c r="BP21" s="66"/>
      <c r="BQ21" s="66"/>
      <c r="BR21" s="66"/>
      <c r="BS21" s="66"/>
      <c r="BT21" s="66"/>
      <c r="BU21" s="66"/>
      <c r="BV21" s="66"/>
    </row>
    <row r="22" spans="1:74" s="67" customFormat="1" x14ac:dyDescent="0.2">
      <c r="A22" s="245" t="s">
        <v>11</v>
      </c>
      <c r="B22" s="250" t="s">
        <v>265</v>
      </c>
      <c r="C22" s="244">
        <v>8</v>
      </c>
      <c r="D22" s="56">
        <f t="shared" si="0"/>
        <v>545.13515999999993</v>
      </c>
      <c r="E22" s="141">
        <f>RCFs!$C$43</f>
        <v>68.141894999999991</v>
      </c>
      <c r="F22" s="142">
        <f t="shared" si="7"/>
        <v>213</v>
      </c>
      <c r="G22" s="55">
        <f t="shared" si="8"/>
        <v>26.625</v>
      </c>
      <c r="H22" s="142">
        <v>221.4</v>
      </c>
      <c r="I22" s="55">
        <f t="shared" si="9"/>
        <v>27.675000000000001</v>
      </c>
      <c r="J22" s="65">
        <f t="shared" si="1"/>
        <v>243.5</v>
      </c>
      <c r="K22" s="65">
        <f t="shared" si="1"/>
        <v>303.3</v>
      </c>
      <c r="L22" s="65">
        <f t="shared" si="1"/>
        <v>325.5</v>
      </c>
      <c r="M22" s="65">
        <f t="shared" si="1"/>
        <v>358.7</v>
      </c>
      <c r="N22" s="65">
        <f t="shared" si="1"/>
        <v>442.8</v>
      </c>
      <c r="O22" s="65">
        <f t="shared" si="1"/>
        <v>476</v>
      </c>
      <c r="P22" s="65">
        <f t="shared" si="1"/>
        <v>664.2</v>
      </c>
      <c r="Q22" s="183">
        <f t="shared" ref="Q22:Q23" si="67">ROUNDDOWN(R22*C22,1)</f>
        <v>228.1</v>
      </c>
      <c r="R22" s="305">
        <f>R21</f>
        <v>28.515555555555558</v>
      </c>
      <c r="S22" s="65">
        <f t="shared" si="11"/>
        <v>296.5</v>
      </c>
      <c r="T22" s="65">
        <f t="shared" si="11"/>
        <v>342.1</v>
      </c>
      <c r="U22" s="56">
        <v>208.7</v>
      </c>
      <c r="V22" s="55">
        <f t="shared" si="12"/>
        <v>26.087499999999999</v>
      </c>
      <c r="W22" s="56">
        <v>222.2</v>
      </c>
      <c r="X22" s="55">
        <f t="shared" si="2"/>
        <v>27.774999999999999</v>
      </c>
      <c r="Y22" s="65"/>
      <c r="Z22" s="65"/>
      <c r="AA22" s="65">
        <f t="shared" si="24"/>
        <v>360</v>
      </c>
      <c r="AB22" s="65">
        <f t="shared" si="23"/>
        <v>326.60000000000002</v>
      </c>
      <c r="AC22" s="65">
        <f t="shared" si="23"/>
        <v>482.2</v>
      </c>
      <c r="AD22" s="65">
        <f t="shared" si="23"/>
        <v>666.6</v>
      </c>
      <c r="AE22" s="56">
        <v>213.7</v>
      </c>
      <c r="AF22" s="55">
        <f t="shared" si="4"/>
        <v>26.712499999999999</v>
      </c>
      <c r="AG22" s="61">
        <f t="shared" si="5"/>
        <v>352.6</v>
      </c>
      <c r="AH22" s="61">
        <f t="shared" si="5"/>
        <v>448.8</v>
      </c>
      <c r="AI22" s="61">
        <f t="shared" si="5"/>
        <v>641.1</v>
      </c>
      <c r="AJ22" s="142">
        <v>218</v>
      </c>
      <c r="AK22" s="55">
        <f t="shared" si="21"/>
        <v>27.25</v>
      </c>
      <c r="AL22" s="142">
        <v>300.60000000000002</v>
      </c>
      <c r="AM22" s="55">
        <f t="shared" si="13"/>
        <v>37.575000000000003</v>
      </c>
      <c r="AN22" s="142">
        <v>418.7</v>
      </c>
      <c r="AO22" s="55">
        <f t="shared" si="14"/>
        <v>52.337499999999999</v>
      </c>
      <c r="AP22" s="61">
        <f t="shared" si="15"/>
        <v>628</v>
      </c>
      <c r="AQ22" s="186">
        <v>223.6</v>
      </c>
      <c r="AR22" s="55">
        <f>AR21</f>
        <v>27.92</v>
      </c>
      <c r="AS22" s="61">
        <f t="shared" si="16"/>
        <v>290.60000000000002</v>
      </c>
      <c r="AT22" s="61">
        <f t="shared" si="16"/>
        <v>324.2</v>
      </c>
      <c r="AU22" s="56">
        <v>230.8</v>
      </c>
      <c r="AV22" s="55">
        <f t="shared" si="17"/>
        <v>28.85</v>
      </c>
      <c r="AW22" s="56">
        <v>233.4</v>
      </c>
      <c r="AX22" s="141">
        <f t="shared" si="18"/>
        <v>29.175000000000001</v>
      </c>
      <c r="AY22" s="56"/>
      <c r="AZ22" s="55">
        <f t="shared" si="19"/>
        <v>0</v>
      </c>
      <c r="BA22" s="186">
        <f t="shared" si="20"/>
        <v>227</v>
      </c>
      <c r="BB22" s="55">
        <f>RCFs!I$41</f>
        <v>28.387</v>
      </c>
      <c r="BC22" s="4"/>
      <c r="BD22" s="4"/>
      <c r="BE22" s="4"/>
      <c r="BF22" s="4"/>
      <c r="BG22" s="4"/>
      <c r="BH22" s="4"/>
      <c r="BI22" s="4"/>
      <c r="BJ22" s="4"/>
      <c r="BK22" s="4"/>
      <c r="BL22" s="4"/>
      <c r="BM22" s="66"/>
      <c r="BN22" s="66"/>
      <c r="BO22" s="66"/>
      <c r="BP22" s="66"/>
      <c r="BQ22" s="66"/>
      <c r="BR22" s="66"/>
      <c r="BS22" s="66"/>
      <c r="BT22" s="66"/>
      <c r="BU22" s="66"/>
      <c r="BV22" s="66"/>
    </row>
    <row r="23" spans="1:74" s="67" customFormat="1" x14ac:dyDescent="0.2">
      <c r="A23" s="245" t="s">
        <v>12</v>
      </c>
      <c r="B23" s="250" t="s">
        <v>266</v>
      </c>
      <c r="C23" s="244">
        <v>14</v>
      </c>
      <c r="D23" s="56">
        <f t="shared" si="0"/>
        <v>953.9865299999999</v>
      </c>
      <c r="E23" s="141">
        <f>RCFs!$C$43</f>
        <v>68.141894999999991</v>
      </c>
      <c r="F23" s="142">
        <f t="shared" si="7"/>
        <v>373.3</v>
      </c>
      <c r="G23" s="55">
        <f t="shared" si="8"/>
        <v>26.664285714285715</v>
      </c>
      <c r="H23" s="142">
        <v>387.9</v>
      </c>
      <c r="I23" s="55">
        <f t="shared" si="9"/>
        <v>27.707142857142856</v>
      </c>
      <c r="J23" s="65">
        <f t="shared" si="1"/>
        <v>426.7</v>
      </c>
      <c r="K23" s="65">
        <f t="shared" si="1"/>
        <v>531.4</v>
      </c>
      <c r="L23" s="65">
        <f t="shared" si="1"/>
        <v>570.20000000000005</v>
      </c>
      <c r="M23" s="65">
        <f t="shared" si="1"/>
        <v>628.4</v>
      </c>
      <c r="N23" s="65">
        <f t="shared" si="1"/>
        <v>775.8</v>
      </c>
      <c r="O23" s="65">
        <f t="shared" si="1"/>
        <v>834</v>
      </c>
      <c r="P23" s="65">
        <f t="shared" si="1"/>
        <v>1163.7</v>
      </c>
      <c r="Q23" s="183">
        <f t="shared" si="67"/>
        <v>399.2</v>
      </c>
      <c r="R23" s="305">
        <f>R22</f>
        <v>28.515555555555558</v>
      </c>
      <c r="S23" s="65">
        <f t="shared" si="11"/>
        <v>518.9</v>
      </c>
      <c r="T23" s="65">
        <f t="shared" si="11"/>
        <v>598.79999999999995</v>
      </c>
      <c r="U23" s="56">
        <v>365.4</v>
      </c>
      <c r="V23" s="55">
        <f t="shared" si="12"/>
        <v>26.099999999999998</v>
      </c>
      <c r="W23" s="56">
        <v>389.2</v>
      </c>
      <c r="X23" s="55">
        <f t="shared" si="2"/>
        <v>27.8</v>
      </c>
      <c r="Y23" s="65">
        <f>ROUND($C23*$X23*Y$6,1)</f>
        <v>428.1</v>
      </c>
      <c r="Z23" s="65">
        <f>ROUND($C23*$X23*Z$6,1)</f>
        <v>533.20000000000005</v>
      </c>
      <c r="AA23" s="65">
        <f t="shared" si="24"/>
        <v>630.5</v>
      </c>
      <c r="AB23" s="65">
        <f t="shared" si="23"/>
        <v>572.1</v>
      </c>
      <c r="AC23" s="65">
        <f t="shared" si="23"/>
        <v>844.6</v>
      </c>
      <c r="AD23" s="65">
        <f t="shared" si="23"/>
        <v>1167.5999999999999</v>
      </c>
      <c r="AE23" s="56">
        <v>374.7</v>
      </c>
      <c r="AF23" s="55">
        <f t="shared" si="4"/>
        <v>26.764285714285712</v>
      </c>
      <c r="AG23" s="61">
        <f t="shared" si="5"/>
        <v>618.29999999999995</v>
      </c>
      <c r="AH23" s="61">
        <f t="shared" si="5"/>
        <v>786.9</v>
      </c>
      <c r="AI23" s="61">
        <f t="shared" si="5"/>
        <v>1124.0999999999999</v>
      </c>
      <c r="AJ23" s="142">
        <v>381.5</v>
      </c>
      <c r="AK23" s="55">
        <f t="shared" si="21"/>
        <v>27.25</v>
      </c>
      <c r="AL23" s="142">
        <v>526.29999999999995</v>
      </c>
      <c r="AM23" s="55">
        <f t="shared" si="13"/>
        <v>37.592857142857142</v>
      </c>
      <c r="AN23" s="142">
        <v>0</v>
      </c>
      <c r="AO23" s="55">
        <f t="shared" si="14"/>
        <v>0</v>
      </c>
      <c r="AP23" s="61">
        <f t="shared" si="15"/>
        <v>0</v>
      </c>
      <c r="AQ23" s="186">
        <v>391</v>
      </c>
      <c r="AR23" s="55">
        <f>AR22</f>
        <v>27.92</v>
      </c>
      <c r="AS23" s="61">
        <f t="shared" si="16"/>
        <v>508.3</v>
      </c>
      <c r="AT23" s="61">
        <f t="shared" si="16"/>
        <v>566.9</v>
      </c>
      <c r="AU23" s="56">
        <v>404</v>
      </c>
      <c r="AV23" s="55">
        <f t="shared" si="17"/>
        <v>28.857142857142858</v>
      </c>
      <c r="AW23" s="56">
        <v>408.4</v>
      </c>
      <c r="AX23" s="141">
        <f t="shared" si="18"/>
        <v>29.171428571428571</v>
      </c>
      <c r="AY23" s="56"/>
      <c r="AZ23" s="55">
        <f t="shared" si="19"/>
        <v>0</v>
      </c>
      <c r="BA23" s="186">
        <f>ROUNDDOWN(BB23*$C23,1)</f>
        <v>397.4</v>
      </c>
      <c r="BB23" s="55">
        <f>RCFs!I$41</f>
        <v>28.387</v>
      </c>
      <c r="BC23" s="4"/>
      <c r="BD23" s="4"/>
      <c r="BE23" s="4"/>
      <c r="BF23" s="4"/>
      <c r="BG23" s="4"/>
      <c r="BH23" s="4"/>
      <c r="BI23" s="4"/>
      <c r="BJ23" s="4"/>
      <c r="BK23" s="4"/>
      <c r="BL23" s="4"/>
      <c r="BM23" s="66"/>
      <c r="BN23" s="66"/>
      <c r="BO23" s="66"/>
      <c r="BP23" s="66"/>
      <c r="BQ23" s="66"/>
      <c r="BR23" s="66"/>
      <c r="BS23" s="66"/>
      <c r="BT23" s="66"/>
      <c r="BU23" s="66"/>
      <c r="BV23" s="66"/>
    </row>
    <row r="24" spans="1:74" s="67" customFormat="1" x14ac:dyDescent="0.2">
      <c r="A24" s="68" t="s">
        <v>20</v>
      </c>
      <c r="B24" s="63" t="s">
        <v>28</v>
      </c>
      <c r="C24" s="64"/>
      <c r="D24" s="56">
        <v>0</v>
      </c>
      <c r="E24" s="56">
        <v>0</v>
      </c>
      <c r="F24" s="142">
        <f t="shared" si="7"/>
        <v>0</v>
      </c>
      <c r="G24" s="55">
        <v>0</v>
      </c>
      <c r="H24" s="56">
        <v>0</v>
      </c>
      <c r="I24" s="55">
        <v>0</v>
      </c>
      <c r="J24" s="65">
        <f t="shared" ref="J24:P38" si="68">ROUND($C24*$I24*J$6,1)</f>
        <v>0</v>
      </c>
      <c r="K24" s="65">
        <f t="shared" si="68"/>
        <v>0</v>
      </c>
      <c r="L24" s="65">
        <f t="shared" si="68"/>
        <v>0</v>
      </c>
      <c r="M24" s="65">
        <f t="shared" si="68"/>
        <v>0</v>
      </c>
      <c r="N24" s="65">
        <f t="shared" si="68"/>
        <v>0</v>
      </c>
      <c r="O24" s="65">
        <f t="shared" si="68"/>
        <v>0</v>
      </c>
      <c r="P24" s="65">
        <f t="shared" si="68"/>
        <v>0</v>
      </c>
      <c r="Q24" s="56">
        <v>0</v>
      </c>
      <c r="R24" s="55">
        <v>0</v>
      </c>
      <c r="S24" s="65">
        <f t="shared" si="11"/>
        <v>0</v>
      </c>
      <c r="T24" s="65">
        <f t="shared" si="11"/>
        <v>0</v>
      </c>
      <c r="U24" s="56">
        <v>0</v>
      </c>
      <c r="V24" s="55"/>
      <c r="W24" s="56">
        <v>0</v>
      </c>
      <c r="X24" s="55">
        <v>0</v>
      </c>
      <c r="Y24" s="61">
        <v>0</v>
      </c>
      <c r="Z24" s="61">
        <v>0</v>
      </c>
      <c r="AA24" s="61">
        <v>0</v>
      </c>
      <c r="AB24" s="61">
        <v>0</v>
      </c>
      <c r="AC24" s="61">
        <v>0</v>
      </c>
      <c r="AD24" s="61">
        <v>0</v>
      </c>
      <c r="AE24" s="56">
        <v>0</v>
      </c>
      <c r="AF24" s="55">
        <v>0</v>
      </c>
      <c r="AG24" s="61">
        <v>0</v>
      </c>
      <c r="AH24" s="61">
        <v>0</v>
      </c>
      <c r="AI24" s="61">
        <f t="shared" ref="AI24:AI38" si="69">ROUND($AE24*AI$6,1)</f>
        <v>0</v>
      </c>
      <c r="AJ24" s="142">
        <v>0</v>
      </c>
      <c r="AK24" s="56">
        <v>0</v>
      </c>
      <c r="AL24" s="142">
        <v>0</v>
      </c>
      <c r="AM24" s="56">
        <v>0</v>
      </c>
      <c r="AN24" s="56">
        <v>0</v>
      </c>
      <c r="AO24" s="55">
        <v>0</v>
      </c>
      <c r="AP24" s="61">
        <f t="shared" si="15"/>
        <v>0</v>
      </c>
      <c r="AQ24" s="142">
        <v>0</v>
      </c>
      <c r="AR24" s="55">
        <v>0</v>
      </c>
      <c r="AS24" s="61">
        <f t="shared" si="16"/>
        <v>0</v>
      </c>
      <c r="AT24" s="61">
        <f t="shared" si="16"/>
        <v>0</v>
      </c>
      <c r="AU24" s="56">
        <v>0</v>
      </c>
      <c r="AV24" s="55">
        <v>0</v>
      </c>
      <c r="AW24" s="56">
        <v>0</v>
      </c>
      <c r="AX24" s="141">
        <v>0</v>
      </c>
      <c r="AY24" s="56">
        <v>0</v>
      </c>
      <c r="AZ24" s="55">
        <v>0</v>
      </c>
      <c r="BA24" s="186">
        <f t="shared" ref="BA24:BA26" si="70">BB24*$C24</f>
        <v>0</v>
      </c>
      <c r="BB24" s="55">
        <v>0</v>
      </c>
      <c r="BC24" s="4"/>
      <c r="BD24" s="4"/>
      <c r="BE24" s="4"/>
      <c r="BF24" s="4"/>
      <c r="BG24" s="4"/>
      <c r="BH24" s="4"/>
      <c r="BI24" s="4"/>
      <c r="BJ24" s="4"/>
      <c r="BK24" s="4"/>
      <c r="BL24" s="4"/>
      <c r="BM24" s="66"/>
      <c r="BN24" s="66"/>
      <c r="BO24" s="66"/>
      <c r="BP24" s="66"/>
      <c r="BQ24" s="66"/>
      <c r="BR24" s="66"/>
      <c r="BS24" s="66"/>
      <c r="BT24" s="66"/>
      <c r="BU24" s="66"/>
      <c r="BV24" s="66"/>
    </row>
    <row r="25" spans="1:74" s="67" customFormat="1" x14ac:dyDescent="0.2">
      <c r="A25" s="68" t="s">
        <v>21</v>
      </c>
      <c r="B25" s="63" t="s">
        <v>29</v>
      </c>
      <c r="C25" s="64"/>
      <c r="D25" s="56">
        <v>0</v>
      </c>
      <c r="E25" s="56">
        <v>0</v>
      </c>
      <c r="F25" s="142">
        <f t="shared" si="7"/>
        <v>0</v>
      </c>
      <c r="G25" s="56">
        <v>0</v>
      </c>
      <c r="H25" s="56">
        <v>0</v>
      </c>
      <c r="I25" s="56">
        <v>0</v>
      </c>
      <c r="J25" s="65">
        <f t="shared" si="68"/>
        <v>0</v>
      </c>
      <c r="K25" s="65">
        <f t="shared" si="68"/>
        <v>0</v>
      </c>
      <c r="L25" s="65">
        <f t="shared" si="68"/>
        <v>0</v>
      </c>
      <c r="M25" s="65">
        <f t="shared" si="68"/>
        <v>0</v>
      </c>
      <c r="N25" s="65">
        <f t="shared" si="68"/>
        <v>0</v>
      </c>
      <c r="O25" s="65">
        <f t="shared" si="68"/>
        <v>0</v>
      </c>
      <c r="P25" s="65">
        <f t="shared" si="68"/>
        <v>0</v>
      </c>
      <c r="Q25" s="56">
        <v>0</v>
      </c>
      <c r="R25" s="55">
        <v>0</v>
      </c>
      <c r="S25" s="65">
        <f t="shared" si="11"/>
        <v>0</v>
      </c>
      <c r="T25" s="65">
        <f t="shared" si="11"/>
        <v>0</v>
      </c>
      <c r="U25" s="56">
        <v>0</v>
      </c>
      <c r="V25" s="55"/>
      <c r="W25" s="56">
        <v>0</v>
      </c>
      <c r="X25" s="55">
        <v>0</v>
      </c>
      <c r="Y25" s="61">
        <v>0</v>
      </c>
      <c r="Z25" s="61">
        <v>0</v>
      </c>
      <c r="AA25" s="61">
        <v>0</v>
      </c>
      <c r="AB25" s="61">
        <v>0</v>
      </c>
      <c r="AC25" s="61">
        <v>0</v>
      </c>
      <c r="AD25" s="61">
        <v>0</v>
      </c>
      <c r="AE25" s="56">
        <v>0</v>
      </c>
      <c r="AF25" s="55">
        <v>0</v>
      </c>
      <c r="AG25" s="61">
        <v>0</v>
      </c>
      <c r="AH25" s="61">
        <v>0</v>
      </c>
      <c r="AI25" s="61">
        <f t="shared" si="69"/>
        <v>0</v>
      </c>
      <c r="AJ25" s="142">
        <v>172.8</v>
      </c>
      <c r="AK25" s="56">
        <v>0</v>
      </c>
      <c r="AL25" s="142">
        <v>238.1</v>
      </c>
      <c r="AM25" s="56">
        <v>0</v>
      </c>
      <c r="AN25" s="56">
        <v>0</v>
      </c>
      <c r="AO25" s="55">
        <v>0</v>
      </c>
      <c r="AP25" s="61">
        <f t="shared" si="15"/>
        <v>0</v>
      </c>
      <c r="AQ25" s="142">
        <v>0</v>
      </c>
      <c r="AR25" s="55">
        <v>0</v>
      </c>
      <c r="AS25" s="61">
        <f t="shared" si="16"/>
        <v>0</v>
      </c>
      <c r="AT25" s="61">
        <f t="shared" si="16"/>
        <v>0</v>
      </c>
      <c r="AU25" s="56">
        <v>0</v>
      </c>
      <c r="AV25" s="55">
        <v>0</v>
      </c>
      <c r="AW25" s="56">
        <v>0</v>
      </c>
      <c r="AX25" s="141">
        <v>0</v>
      </c>
      <c r="AY25" s="56">
        <v>0</v>
      </c>
      <c r="AZ25" s="55">
        <v>0</v>
      </c>
      <c r="BA25" s="186">
        <f t="shared" si="70"/>
        <v>0</v>
      </c>
      <c r="BB25" s="55">
        <v>0</v>
      </c>
      <c r="BC25" s="4"/>
      <c r="BD25" s="4"/>
      <c r="BE25" s="4"/>
      <c r="BF25" s="4"/>
      <c r="BG25" s="4"/>
      <c r="BH25" s="4"/>
      <c r="BI25" s="4"/>
      <c r="BJ25" s="4"/>
      <c r="BK25" s="4"/>
      <c r="BL25" s="4"/>
      <c r="BM25" s="66"/>
      <c r="BN25" s="66"/>
      <c r="BO25" s="66"/>
      <c r="BP25" s="66"/>
      <c r="BQ25" s="66"/>
      <c r="BR25" s="66"/>
      <c r="BS25" s="66"/>
      <c r="BT25" s="66"/>
      <c r="BU25" s="66"/>
      <c r="BV25" s="66"/>
    </row>
    <row r="26" spans="1:74" s="153" customFormat="1" x14ac:dyDescent="0.2">
      <c r="A26" s="143" t="s">
        <v>21</v>
      </c>
      <c r="B26" s="144" t="s">
        <v>168</v>
      </c>
      <c r="C26" s="182">
        <v>100</v>
      </c>
      <c r="D26" s="146">
        <v>0</v>
      </c>
      <c r="E26" s="146">
        <v>0</v>
      </c>
      <c r="F26" s="142">
        <f t="shared" si="7"/>
        <v>0</v>
      </c>
      <c r="G26" s="146">
        <v>0</v>
      </c>
      <c r="H26" s="148"/>
      <c r="I26" s="146">
        <v>0</v>
      </c>
      <c r="J26" s="149">
        <f t="shared" si="68"/>
        <v>0</v>
      </c>
      <c r="K26" s="149">
        <f t="shared" si="68"/>
        <v>0</v>
      </c>
      <c r="L26" s="149">
        <f t="shared" si="68"/>
        <v>0</v>
      </c>
      <c r="M26" s="149">
        <f t="shared" si="68"/>
        <v>0</v>
      </c>
      <c r="N26" s="149">
        <f t="shared" si="68"/>
        <v>0</v>
      </c>
      <c r="O26" s="149">
        <f t="shared" si="68"/>
        <v>0</v>
      </c>
      <c r="P26" s="149">
        <f t="shared" si="68"/>
        <v>0</v>
      </c>
      <c r="Q26" s="146">
        <v>0</v>
      </c>
      <c r="R26" s="147">
        <v>0</v>
      </c>
      <c r="S26" s="149">
        <f t="shared" si="11"/>
        <v>0</v>
      </c>
      <c r="T26" s="149">
        <f t="shared" si="11"/>
        <v>0</v>
      </c>
      <c r="U26" s="146">
        <v>0</v>
      </c>
      <c r="V26" s="147"/>
      <c r="W26" s="146">
        <v>184.5</v>
      </c>
      <c r="X26" s="181">
        <f t="shared" si="2"/>
        <v>1.845</v>
      </c>
      <c r="Y26" s="149">
        <f t="shared" ref="Y26:AD26" si="71">ROUND($C26*$X26*Y$6,1)</f>
        <v>203</v>
      </c>
      <c r="Z26" s="149">
        <f t="shared" si="71"/>
        <v>252.8</v>
      </c>
      <c r="AA26" s="149">
        <f t="shared" si="71"/>
        <v>298.89999999999998</v>
      </c>
      <c r="AB26" s="149">
        <f t="shared" si="71"/>
        <v>271.2</v>
      </c>
      <c r="AC26" s="149">
        <f t="shared" si="71"/>
        <v>400.4</v>
      </c>
      <c r="AD26" s="149">
        <f t="shared" si="71"/>
        <v>553.5</v>
      </c>
      <c r="AE26" s="146">
        <v>0</v>
      </c>
      <c r="AF26" s="147">
        <v>0</v>
      </c>
      <c r="AG26" s="150">
        <v>0</v>
      </c>
      <c r="AH26" s="150">
        <v>0</v>
      </c>
      <c r="AI26" s="150">
        <f t="shared" si="69"/>
        <v>0</v>
      </c>
      <c r="AJ26" s="148">
        <v>0</v>
      </c>
      <c r="AK26" s="146">
        <v>0</v>
      </c>
      <c r="AL26" s="148">
        <v>0</v>
      </c>
      <c r="AM26" s="146">
        <v>0</v>
      </c>
      <c r="AN26" s="56">
        <v>0</v>
      </c>
      <c r="AO26" s="55">
        <f t="shared" si="14"/>
        <v>0</v>
      </c>
      <c r="AP26" s="150">
        <f t="shared" si="15"/>
        <v>0</v>
      </c>
      <c r="AQ26" s="148">
        <v>0</v>
      </c>
      <c r="AR26" s="147">
        <v>0</v>
      </c>
      <c r="AS26" s="150">
        <f t="shared" si="16"/>
        <v>0</v>
      </c>
      <c r="AT26" s="150">
        <f t="shared" si="16"/>
        <v>0</v>
      </c>
      <c r="AU26" s="146">
        <v>0</v>
      </c>
      <c r="AV26" s="147">
        <v>0</v>
      </c>
      <c r="AW26" s="146">
        <v>0</v>
      </c>
      <c r="AX26" s="141">
        <f t="shared" si="18"/>
        <v>0</v>
      </c>
      <c r="AY26" s="56">
        <v>0</v>
      </c>
      <c r="AZ26" s="147">
        <v>0</v>
      </c>
      <c r="BA26" s="186">
        <f t="shared" si="70"/>
        <v>0</v>
      </c>
      <c r="BB26" s="147">
        <v>0</v>
      </c>
      <c r="BC26" s="151"/>
      <c r="BD26" s="151"/>
      <c r="BE26" s="151"/>
      <c r="BF26" s="151"/>
      <c r="BG26" s="151"/>
      <c r="BH26" s="151"/>
      <c r="BI26" s="151"/>
      <c r="BJ26" s="151"/>
      <c r="BK26" s="151"/>
      <c r="BL26" s="151"/>
      <c r="BM26" s="152"/>
      <c r="BN26" s="152"/>
      <c r="BO26" s="152"/>
      <c r="BP26" s="152"/>
      <c r="BQ26" s="152"/>
      <c r="BR26" s="152"/>
      <c r="BS26" s="152"/>
      <c r="BT26" s="152"/>
      <c r="BU26" s="152"/>
      <c r="BV26" s="152"/>
    </row>
    <row r="27" spans="1:74" s="67" customFormat="1" x14ac:dyDescent="0.2">
      <c r="A27" s="68" t="s">
        <v>22</v>
      </c>
      <c r="B27" s="63" t="s">
        <v>122</v>
      </c>
      <c r="C27" s="64">
        <v>15</v>
      </c>
      <c r="D27" s="56">
        <f t="shared" si="0"/>
        <v>1022.1284249999999</v>
      </c>
      <c r="E27" s="141">
        <f>RCFs!$C$43</f>
        <v>68.141894999999991</v>
      </c>
      <c r="F27" s="142">
        <f t="shared" si="7"/>
        <v>693.1</v>
      </c>
      <c r="G27" s="55">
        <f t="shared" ref="G27:G29" si="72">F27/C27</f>
        <v>46.206666666666671</v>
      </c>
      <c r="H27" s="142">
        <v>720.2</v>
      </c>
      <c r="I27" s="55">
        <f t="shared" si="9"/>
        <v>48.013333333333335</v>
      </c>
      <c r="J27" s="65">
        <f t="shared" si="68"/>
        <v>792.2</v>
      </c>
      <c r="K27" s="65">
        <f t="shared" si="68"/>
        <v>986.7</v>
      </c>
      <c r="L27" s="65">
        <f t="shared" si="68"/>
        <v>1058.7</v>
      </c>
      <c r="M27" s="65">
        <f t="shared" si="68"/>
        <v>1166.7</v>
      </c>
      <c r="N27" s="65">
        <f t="shared" si="68"/>
        <v>1440.4</v>
      </c>
      <c r="O27" s="65">
        <f t="shared" si="68"/>
        <v>1548.4</v>
      </c>
      <c r="P27" s="65">
        <f t="shared" si="68"/>
        <v>2160.6</v>
      </c>
      <c r="Q27" s="56">
        <v>741.3</v>
      </c>
      <c r="R27" s="55">
        <f t="shared" si="10"/>
        <v>49.419999999999995</v>
      </c>
      <c r="S27" s="65">
        <f t="shared" si="11"/>
        <v>963.6</v>
      </c>
      <c r="T27" s="65">
        <f t="shared" si="11"/>
        <v>1111.9000000000001</v>
      </c>
      <c r="U27" s="56">
        <v>679.6</v>
      </c>
      <c r="V27" s="55">
        <f t="shared" si="12"/>
        <v>45.306666666666665</v>
      </c>
      <c r="W27" s="56">
        <v>723.9</v>
      </c>
      <c r="X27" s="55">
        <f t="shared" ref="X27:X37" si="73">W27/C27</f>
        <v>48.26</v>
      </c>
      <c r="Y27" s="65">
        <f t="shared" ref="Y27:Z35" si="74">ROUND($C27*$X27*Y$6,1)</f>
        <v>796.3</v>
      </c>
      <c r="Z27" s="65">
        <f t="shared" si="74"/>
        <v>991.7</v>
      </c>
      <c r="AA27" s="65">
        <v>0</v>
      </c>
      <c r="AB27" s="65">
        <f t="shared" ref="AB27:AD31" si="75">ROUND($C27*$X27*AB$6,1)</f>
        <v>1064.0999999999999</v>
      </c>
      <c r="AC27" s="65">
        <f t="shared" si="75"/>
        <v>1570.9</v>
      </c>
      <c r="AD27" s="65">
        <f t="shared" si="75"/>
        <v>2171.6999999999998</v>
      </c>
      <c r="AE27" s="56">
        <v>695.2</v>
      </c>
      <c r="AF27" s="55">
        <f t="shared" ref="AF27:AF37" si="76">AE27/C27</f>
        <v>46.346666666666671</v>
      </c>
      <c r="AG27" s="61">
        <f t="shared" ref="AG27:AH38" si="77">ROUND($AE27*AG$6,1)</f>
        <v>1147.0999999999999</v>
      </c>
      <c r="AH27" s="61">
        <f t="shared" si="77"/>
        <v>1459.9</v>
      </c>
      <c r="AI27" s="61">
        <f t="shared" si="69"/>
        <v>2085.6</v>
      </c>
      <c r="AJ27" s="142">
        <v>690.8</v>
      </c>
      <c r="AK27" s="55">
        <f t="shared" si="21"/>
        <v>46.053333333333327</v>
      </c>
      <c r="AL27" s="142">
        <v>952.7</v>
      </c>
      <c r="AM27" s="55">
        <f t="shared" si="13"/>
        <v>63.513333333333335</v>
      </c>
      <c r="AN27" s="142">
        <v>777.5</v>
      </c>
      <c r="AO27" s="55">
        <f t="shared" si="14"/>
        <v>51.833333333333336</v>
      </c>
      <c r="AP27" s="61">
        <f t="shared" si="15"/>
        <v>1166.2</v>
      </c>
      <c r="AQ27" s="142">
        <v>726.3</v>
      </c>
      <c r="AR27" s="55">
        <f t="shared" ref="AR27:AR37" si="78">AQ27/C27</f>
        <v>48.419999999999995</v>
      </c>
      <c r="AS27" s="61">
        <f t="shared" si="16"/>
        <v>944.1</v>
      </c>
      <c r="AT27" s="61">
        <f t="shared" si="16"/>
        <v>1053.0999999999999</v>
      </c>
      <c r="AU27" s="56">
        <v>750.4</v>
      </c>
      <c r="AV27" s="55">
        <f t="shared" si="17"/>
        <v>50.026666666666664</v>
      </c>
      <c r="AW27" s="56">
        <v>758.5</v>
      </c>
      <c r="AX27" s="141">
        <f t="shared" si="18"/>
        <v>50.56666666666667</v>
      </c>
      <c r="AY27" s="56"/>
      <c r="AZ27" s="55">
        <f t="shared" si="19"/>
        <v>0</v>
      </c>
      <c r="BA27" s="142">
        <v>737.9</v>
      </c>
      <c r="BB27" s="55">
        <f t="shared" ref="BB27:BB36" si="79">BA27/$C27</f>
        <v>49.193333333333335</v>
      </c>
      <c r="BC27" s="4"/>
      <c r="BD27" s="4"/>
      <c r="BE27" s="4"/>
      <c r="BF27" s="4"/>
      <c r="BG27" s="4"/>
      <c r="BH27" s="4"/>
      <c r="BI27" s="4"/>
      <c r="BJ27" s="4"/>
      <c r="BK27" s="4"/>
      <c r="BL27" s="4"/>
      <c r="BM27" s="66"/>
      <c r="BN27" s="66"/>
      <c r="BO27" s="66"/>
      <c r="BP27" s="66"/>
      <c r="BQ27" s="66"/>
      <c r="BR27" s="66"/>
      <c r="BS27" s="66"/>
      <c r="BT27" s="66"/>
      <c r="BU27" s="66"/>
      <c r="BV27" s="66"/>
    </row>
    <row r="28" spans="1:74" s="67" customFormat="1" x14ac:dyDescent="0.2">
      <c r="A28" s="68" t="s">
        <v>23</v>
      </c>
      <c r="B28" s="63" t="s">
        <v>122</v>
      </c>
      <c r="C28" s="64">
        <v>30</v>
      </c>
      <c r="D28" s="56">
        <f t="shared" si="0"/>
        <v>2044.2568499999998</v>
      </c>
      <c r="E28" s="141">
        <f>RCFs!$C$43</f>
        <v>68.141894999999991</v>
      </c>
      <c r="F28" s="142">
        <f t="shared" si="7"/>
        <v>693.1</v>
      </c>
      <c r="G28" s="55">
        <f t="shared" si="72"/>
        <v>23.103333333333335</v>
      </c>
      <c r="H28" s="142">
        <v>720.2</v>
      </c>
      <c r="I28" s="55">
        <f t="shared" si="9"/>
        <v>24.006666666666668</v>
      </c>
      <c r="J28" s="65">
        <f t="shared" si="68"/>
        <v>792.2</v>
      </c>
      <c r="K28" s="65">
        <f t="shared" si="68"/>
        <v>986.7</v>
      </c>
      <c r="L28" s="65">
        <f t="shared" si="68"/>
        <v>1058.7</v>
      </c>
      <c r="M28" s="65">
        <f t="shared" si="68"/>
        <v>1166.7</v>
      </c>
      <c r="N28" s="65">
        <f t="shared" si="68"/>
        <v>1440.4</v>
      </c>
      <c r="O28" s="65">
        <f t="shared" si="68"/>
        <v>1548.4</v>
      </c>
      <c r="P28" s="65">
        <f t="shared" si="68"/>
        <v>2160.6</v>
      </c>
      <c r="Q28" s="56">
        <v>741.3</v>
      </c>
      <c r="R28" s="55">
        <f t="shared" si="10"/>
        <v>24.709999999999997</v>
      </c>
      <c r="S28" s="65">
        <f t="shared" si="11"/>
        <v>963.6</v>
      </c>
      <c r="T28" s="65">
        <f t="shared" si="11"/>
        <v>1111.9000000000001</v>
      </c>
      <c r="U28" s="56">
        <v>679.6</v>
      </c>
      <c r="V28" s="55">
        <f t="shared" si="12"/>
        <v>22.653333333333332</v>
      </c>
      <c r="W28" s="56">
        <v>723.9</v>
      </c>
      <c r="X28" s="55">
        <f t="shared" si="73"/>
        <v>24.13</v>
      </c>
      <c r="Y28" s="65">
        <f t="shared" si="74"/>
        <v>796.3</v>
      </c>
      <c r="Z28" s="65">
        <f t="shared" si="74"/>
        <v>991.7</v>
      </c>
      <c r="AA28" s="65">
        <v>0</v>
      </c>
      <c r="AB28" s="65">
        <f t="shared" si="75"/>
        <v>1064.0999999999999</v>
      </c>
      <c r="AC28" s="65">
        <f t="shared" si="75"/>
        <v>1570.9</v>
      </c>
      <c r="AD28" s="65">
        <f t="shared" si="75"/>
        <v>2171.6999999999998</v>
      </c>
      <c r="AE28" s="56">
        <v>695.2</v>
      </c>
      <c r="AF28" s="55">
        <f t="shared" si="76"/>
        <v>23.173333333333336</v>
      </c>
      <c r="AG28" s="61">
        <f t="shared" si="77"/>
        <v>1147.0999999999999</v>
      </c>
      <c r="AH28" s="61">
        <f t="shared" si="77"/>
        <v>1459.9</v>
      </c>
      <c r="AI28" s="61">
        <f t="shared" si="69"/>
        <v>2085.6</v>
      </c>
      <c r="AJ28" s="142">
        <v>690.8</v>
      </c>
      <c r="AK28" s="55">
        <f t="shared" si="21"/>
        <v>23.026666666666664</v>
      </c>
      <c r="AL28" s="142">
        <v>952.7</v>
      </c>
      <c r="AM28" s="55">
        <f t="shared" si="13"/>
        <v>31.756666666666668</v>
      </c>
      <c r="AN28" s="142">
        <v>777.5</v>
      </c>
      <c r="AO28" s="55">
        <f t="shared" si="14"/>
        <v>25.916666666666668</v>
      </c>
      <c r="AP28" s="61">
        <f t="shared" si="15"/>
        <v>1166.2</v>
      </c>
      <c r="AQ28" s="142">
        <v>726.3</v>
      </c>
      <c r="AR28" s="55">
        <f t="shared" si="78"/>
        <v>24.209999999999997</v>
      </c>
      <c r="AS28" s="61">
        <f t="shared" si="16"/>
        <v>944.1</v>
      </c>
      <c r="AT28" s="61">
        <f t="shared" si="16"/>
        <v>1053.0999999999999</v>
      </c>
      <c r="AU28" s="56">
        <v>750.4</v>
      </c>
      <c r="AV28" s="55">
        <f t="shared" si="17"/>
        <v>25.013333333333332</v>
      </c>
      <c r="AW28" s="56">
        <v>758.5</v>
      </c>
      <c r="AX28" s="141">
        <f t="shared" si="18"/>
        <v>25.283333333333335</v>
      </c>
      <c r="AY28" s="56"/>
      <c r="AZ28" s="55">
        <f t="shared" si="19"/>
        <v>0</v>
      </c>
      <c r="BA28" s="142">
        <v>737.9</v>
      </c>
      <c r="BB28" s="55">
        <f t="shared" si="79"/>
        <v>24.596666666666668</v>
      </c>
      <c r="BC28" s="4"/>
      <c r="BD28" s="4"/>
      <c r="BE28" s="4"/>
      <c r="BF28" s="4"/>
      <c r="BG28" s="4"/>
      <c r="BH28" s="4"/>
      <c r="BI28" s="4"/>
      <c r="BJ28" s="4"/>
      <c r="BK28" s="4"/>
      <c r="BL28" s="4"/>
      <c r="BM28" s="66"/>
      <c r="BN28" s="66"/>
      <c r="BO28" s="66"/>
      <c r="BP28" s="66"/>
      <c r="BQ28" s="66"/>
      <c r="BR28" s="66"/>
      <c r="BS28" s="66"/>
      <c r="BT28" s="66"/>
      <c r="BU28" s="66"/>
      <c r="BV28" s="66"/>
    </row>
    <row r="29" spans="1:74" s="67" customFormat="1" x14ac:dyDescent="0.2">
      <c r="A29" s="68" t="s">
        <v>24</v>
      </c>
      <c r="B29" s="63" t="s">
        <v>122</v>
      </c>
      <c r="C29" s="64">
        <v>45</v>
      </c>
      <c r="D29" s="56">
        <f t="shared" si="0"/>
        <v>3066.3852749999996</v>
      </c>
      <c r="E29" s="141">
        <f>RCFs!$C$43</f>
        <v>68.141894999999991</v>
      </c>
      <c r="F29" s="142">
        <f t="shared" si="7"/>
        <v>693.1</v>
      </c>
      <c r="G29" s="55">
        <f t="shared" si="72"/>
        <v>15.402222222222223</v>
      </c>
      <c r="H29" s="142">
        <v>720.2</v>
      </c>
      <c r="I29" s="55">
        <f t="shared" si="9"/>
        <v>16.004444444444445</v>
      </c>
      <c r="J29" s="65">
        <f t="shared" si="68"/>
        <v>792.2</v>
      </c>
      <c r="K29" s="65">
        <f t="shared" si="68"/>
        <v>986.7</v>
      </c>
      <c r="L29" s="65">
        <f t="shared" si="68"/>
        <v>1058.7</v>
      </c>
      <c r="M29" s="65">
        <f t="shared" si="68"/>
        <v>1166.7</v>
      </c>
      <c r="N29" s="65">
        <f t="shared" si="68"/>
        <v>1440.4</v>
      </c>
      <c r="O29" s="65">
        <f t="shared" si="68"/>
        <v>1548.4</v>
      </c>
      <c r="P29" s="65">
        <f t="shared" si="68"/>
        <v>2160.6</v>
      </c>
      <c r="Q29" s="56">
        <v>741.3</v>
      </c>
      <c r="R29" s="55">
        <f t="shared" si="10"/>
        <v>16.473333333333333</v>
      </c>
      <c r="S29" s="65">
        <f t="shared" si="11"/>
        <v>963.6</v>
      </c>
      <c r="T29" s="65">
        <f t="shared" si="11"/>
        <v>1111.9000000000001</v>
      </c>
      <c r="U29" s="56">
        <v>679.6</v>
      </c>
      <c r="V29" s="55">
        <f t="shared" si="12"/>
        <v>15.102222222222222</v>
      </c>
      <c r="W29" s="56">
        <v>723.9</v>
      </c>
      <c r="X29" s="55">
        <f t="shared" si="73"/>
        <v>16.086666666666666</v>
      </c>
      <c r="Y29" s="65">
        <f t="shared" si="74"/>
        <v>796.3</v>
      </c>
      <c r="Z29" s="65">
        <f t="shared" si="74"/>
        <v>991.7</v>
      </c>
      <c r="AA29" s="65">
        <v>0</v>
      </c>
      <c r="AB29" s="65">
        <f t="shared" si="75"/>
        <v>1064.0999999999999</v>
      </c>
      <c r="AC29" s="65">
        <f t="shared" si="75"/>
        <v>1570.9</v>
      </c>
      <c r="AD29" s="65">
        <f t="shared" si="75"/>
        <v>2171.6999999999998</v>
      </c>
      <c r="AE29" s="56">
        <v>695.2</v>
      </c>
      <c r="AF29" s="55">
        <f t="shared" si="76"/>
        <v>15.44888888888889</v>
      </c>
      <c r="AG29" s="61">
        <f t="shared" si="77"/>
        <v>1147.0999999999999</v>
      </c>
      <c r="AH29" s="61">
        <f t="shared" si="77"/>
        <v>1459.9</v>
      </c>
      <c r="AI29" s="61">
        <f t="shared" si="69"/>
        <v>2085.6</v>
      </c>
      <c r="AJ29" s="142">
        <v>690.8</v>
      </c>
      <c r="AK29" s="55">
        <f t="shared" si="21"/>
        <v>15.351111111111111</v>
      </c>
      <c r="AL29" s="142">
        <v>952.7</v>
      </c>
      <c r="AM29" s="55">
        <f t="shared" si="13"/>
        <v>21.171111111111113</v>
      </c>
      <c r="AN29" s="142">
        <v>777.5</v>
      </c>
      <c r="AO29" s="55">
        <f t="shared" si="14"/>
        <v>17.277777777777779</v>
      </c>
      <c r="AP29" s="61">
        <f t="shared" si="15"/>
        <v>1166.2</v>
      </c>
      <c r="AQ29" s="142">
        <v>726.3</v>
      </c>
      <c r="AR29" s="55">
        <f t="shared" si="78"/>
        <v>16.14</v>
      </c>
      <c r="AS29" s="61">
        <f t="shared" si="16"/>
        <v>944.1</v>
      </c>
      <c r="AT29" s="61">
        <f t="shared" si="16"/>
        <v>1053.0999999999999</v>
      </c>
      <c r="AU29" s="56">
        <v>750.4</v>
      </c>
      <c r="AV29" s="55">
        <f t="shared" si="17"/>
        <v>16.675555555555555</v>
      </c>
      <c r="AW29" s="56">
        <v>758.5</v>
      </c>
      <c r="AX29" s="141">
        <f t="shared" si="18"/>
        <v>16.855555555555554</v>
      </c>
      <c r="AY29" s="56"/>
      <c r="AZ29" s="55">
        <f t="shared" si="19"/>
        <v>0</v>
      </c>
      <c r="BA29" s="142">
        <v>737.9</v>
      </c>
      <c r="BB29" s="55">
        <f t="shared" si="79"/>
        <v>16.397777777777776</v>
      </c>
      <c r="BC29" s="4"/>
      <c r="BD29" s="4"/>
      <c r="BE29" s="4"/>
      <c r="BF29" s="4"/>
      <c r="BG29" s="4"/>
      <c r="BH29" s="4"/>
      <c r="BI29" s="4"/>
      <c r="BJ29" s="4"/>
      <c r="BK29" s="4"/>
      <c r="BL29" s="4"/>
      <c r="BM29" s="66"/>
      <c r="BN29" s="66"/>
      <c r="BO29" s="66"/>
      <c r="BP29" s="66"/>
      <c r="BQ29" s="66"/>
      <c r="BR29" s="66"/>
      <c r="BS29" s="66"/>
      <c r="BT29" s="66"/>
      <c r="BU29" s="66"/>
      <c r="BV29" s="66"/>
    </row>
    <row r="30" spans="1:74" s="67" customFormat="1" x14ac:dyDescent="0.2">
      <c r="A30" s="68" t="s">
        <v>104</v>
      </c>
      <c r="B30" s="63" t="s">
        <v>221</v>
      </c>
      <c r="C30" s="64">
        <v>20.8</v>
      </c>
      <c r="D30" s="56">
        <f t="shared" si="0"/>
        <v>1417.351416</v>
      </c>
      <c r="E30" s="141">
        <f>RCFs!$C$43</f>
        <v>68.141894999999991</v>
      </c>
      <c r="F30" s="142">
        <f t="shared" si="7"/>
        <v>0</v>
      </c>
      <c r="G30" s="55">
        <f t="shared" ref="G30:G31" si="80">F30/A30</f>
        <v>0</v>
      </c>
      <c r="H30" s="142"/>
      <c r="I30" s="55">
        <f t="shared" si="9"/>
        <v>0</v>
      </c>
      <c r="J30" s="65">
        <f t="shared" si="68"/>
        <v>0</v>
      </c>
      <c r="K30" s="65">
        <f t="shared" si="68"/>
        <v>0</v>
      </c>
      <c r="L30" s="65">
        <f t="shared" si="68"/>
        <v>0</v>
      </c>
      <c r="M30" s="65">
        <f t="shared" si="68"/>
        <v>0</v>
      </c>
      <c r="N30" s="65">
        <f t="shared" si="68"/>
        <v>0</v>
      </c>
      <c r="O30" s="65">
        <f t="shared" si="68"/>
        <v>0</v>
      </c>
      <c r="P30" s="65">
        <f t="shared" si="68"/>
        <v>0</v>
      </c>
      <c r="Q30" s="56">
        <v>0</v>
      </c>
      <c r="R30" s="55">
        <f t="shared" si="10"/>
        <v>0</v>
      </c>
      <c r="S30" s="65">
        <f t="shared" si="11"/>
        <v>0</v>
      </c>
      <c r="T30" s="65">
        <f t="shared" si="11"/>
        <v>0</v>
      </c>
      <c r="U30" s="56">
        <v>0</v>
      </c>
      <c r="V30" s="55">
        <f t="shared" si="12"/>
        <v>0</v>
      </c>
      <c r="W30" s="56">
        <v>0</v>
      </c>
      <c r="X30" s="55">
        <f t="shared" si="73"/>
        <v>0</v>
      </c>
      <c r="Y30" s="65">
        <f t="shared" si="74"/>
        <v>0</v>
      </c>
      <c r="Z30" s="65">
        <f t="shared" si="74"/>
        <v>0</v>
      </c>
      <c r="AA30" s="65">
        <v>0</v>
      </c>
      <c r="AB30" s="65">
        <f t="shared" si="75"/>
        <v>0</v>
      </c>
      <c r="AC30" s="65">
        <f t="shared" si="75"/>
        <v>0</v>
      </c>
      <c r="AD30" s="65">
        <f t="shared" si="75"/>
        <v>0</v>
      </c>
      <c r="AE30" s="56">
        <v>0</v>
      </c>
      <c r="AF30" s="55">
        <f t="shared" si="76"/>
        <v>0</v>
      </c>
      <c r="AG30" s="61">
        <f t="shared" si="77"/>
        <v>0</v>
      </c>
      <c r="AH30" s="61">
        <f t="shared" si="77"/>
        <v>0</v>
      </c>
      <c r="AI30" s="61">
        <f t="shared" si="69"/>
        <v>0</v>
      </c>
      <c r="AJ30" s="142">
        <v>0</v>
      </c>
      <c r="AK30" s="55">
        <f t="shared" si="21"/>
        <v>0</v>
      </c>
      <c r="AL30" s="142"/>
      <c r="AM30" s="55">
        <f t="shared" si="13"/>
        <v>0</v>
      </c>
      <c r="AN30" s="142"/>
      <c r="AO30" s="55">
        <f t="shared" si="14"/>
        <v>0</v>
      </c>
      <c r="AP30" s="61">
        <f t="shared" si="15"/>
        <v>0</v>
      </c>
      <c r="AQ30" s="142"/>
      <c r="AR30" s="55">
        <f t="shared" si="78"/>
        <v>0</v>
      </c>
      <c r="AS30" s="61">
        <f t="shared" si="16"/>
        <v>0</v>
      </c>
      <c r="AT30" s="61">
        <f t="shared" si="16"/>
        <v>0</v>
      </c>
      <c r="AU30" s="56">
        <v>0</v>
      </c>
      <c r="AV30" s="55">
        <f t="shared" si="17"/>
        <v>0</v>
      </c>
      <c r="AW30" s="56">
        <v>375.8</v>
      </c>
      <c r="AX30" s="141">
        <f t="shared" si="18"/>
        <v>18.067307692307693</v>
      </c>
      <c r="AY30" s="56"/>
      <c r="AZ30" s="55">
        <f t="shared" si="19"/>
        <v>0</v>
      </c>
      <c r="BA30" s="142">
        <v>0</v>
      </c>
      <c r="BB30" s="55">
        <f t="shared" si="79"/>
        <v>0</v>
      </c>
      <c r="BC30" s="4"/>
      <c r="BD30" s="4"/>
      <c r="BE30" s="4"/>
      <c r="BF30" s="4"/>
      <c r="BG30" s="4"/>
      <c r="BH30" s="4"/>
      <c r="BI30" s="4"/>
      <c r="BJ30" s="4"/>
      <c r="BK30" s="4"/>
      <c r="BL30" s="4"/>
      <c r="BM30" s="66"/>
      <c r="BN30" s="66"/>
      <c r="BO30" s="66"/>
      <c r="BP30" s="66"/>
      <c r="BQ30" s="66"/>
      <c r="BR30" s="66"/>
      <c r="BS30" s="66"/>
      <c r="BT30" s="66"/>
      <c r="BU30" s="66"/>
      <c r="BV30" s="66"/>
    </row>
    <row r="31" spans="1:74" s="67" customFormat="1" x14ac:dyDescent="0.2">
      <c r="A31" s="68" t="s">
        <v>220</v>
      </c>
      <c r="B31" s="63" t="s">
        <v>222</v>
      </c>
      <c r="C31" s="64">
        <v>30.8</v>
      </c>
      <c r="D31" s="56">
        <f t="shared" si="0"/>
        <v>2098.7703659999997</v>
      </c>
      <c r="E31" s="141">
        <f>RCFs!$C$43</f>
        <v>68.141894999999991</v>
      </c>
      <c r="F31" s="142">
        <f t="shared" si="7"/>
        <v>0</v>
      </c>
      <c r="G31" s="55">
        <f t="shared" si="80"/>
        <v>0</v>
      </c>
      <c r="H31" s="142"/>
      <c r="I31" s="55">
        <f t="shared" si="9"/>
        <v>0</v>
      </c>
      <c r="J31" s="65">
        <f t="shared" si="68"/>
        <v>0</v>
      </c>
      <c r="K31" s="65">
        <f t="shared" si="68"/>
        <v>0</v>
      </c>
      <c r="L31" s="65">
        <f t="shared" si="68"/>
        <v>0</v>
      </c>
      <c r="M31" s="65">
        <f t="shared" si="68"/>
        <v>0</v>
      </c>
      <c r="N31" s="65">
        <f t="shared" si="68"/>
        <v>0</v>
      </c>
      <c r="O31" s="65">
        <f t="shared" si="68"/>
        <v>0</v>
      </c>
      <c r="P31" s="65">
        <f t="shared" si="68"/>
        <v>0</v>
      </c>
      <c r="Q31" s="56">
        <v>0</v>
      </c>
      <c r="R31" s="55">
        <f t="shared" si="10"/>
        <v>0</v>
      </c>
      <c r="S31" s="65">
        <f t="shared" si="11"/>
        <v>0</v>
      </c>
      <c r="T31" s="65">
        <f t="shared" si="11"/>
        <v>0</v>
      </c>
      <c r="U31" s="56">
        <v>0</v>
      </c>
      <c r="V31" s="55">
        <f t="shared" si="12"/>
        <v>0</v>
      </c>
      <c r="W31" s="56">
        <v>0</v>
      </c>
      <c r="X31" s="55">
        <f t="shared" si="73"/>
        <v>0</v>
      </c>
      <c r="Y31" s="65">
        <f t="shared" si="74"/>
        <v>0</v>
      </c>
      <c r="Z31" s="65">
        <f t="shared" si="74"/>
        <v>0</v>
      </c>
      <c r="AA31" s="65"/>
      <c r="AB31" s="65">
        <f t="shared" si="75"/>
        <v>0</v>
      </c>
      <c r="AC31" s="65">
        <f t="shared" si="75"/>
        <v>0</v>
      </c>
      <c r="AD31" s="65">
        <f t="shared" si="75"/>
        <v>0</v>
      </c>
      <c r="AE31" s="56">
        <v>0</v>
      </c>
      <c r="AF31" s="55">
        <f t="shared" si="76"/>
        <v>0</v>
      </c>
      <c r="AG31" s="61">
        <f t="shared" si="77"/>
        <v>0</v>
      </c>
      <c r="AH31" s="61">
        <f t="shared" si="77"/>
        <v>0</v>
      </c>
      <c r="AI31" s="61">
        <f t="shared" si="69"/>
        <v>0</v>
      </c>
      <c r="AJ31" s="142">
        <v>0</v>
      </c>
      <c r="AK31" s="55">
        <f t="shared" si="21"/>
        <v>0</v>
      </c>
      <c r="AL31" s="142"/>
      <c r="AM31" s="55">
        <f t="shared" si="13"/>
        <v>0</v>
      </c>
      <c r="AN31" s="142"/>
      <c r="AO31" s="55">
        <f t="shared" si="14"/>
        <v>0</v>
      </c>
      <c r="AP31" s="61">
        <f t="shared" si="15"/>
        <v>0</v>
      </c>
      <c r="AQ31" s="142"/>
      <c r="AR31" s="55">
        <f t="shared" si="78"/>
        <v>0</v>
      </c>
      <c r="AS31" s="61">
        <f t="shared" si="16"/>
        <v>0</v>
      </c>
      <c r="AT31" s="61">
        <f t="shared" si="16"/>
        <v>0</v>
      </c>
      <c r="AU31" s="56">
        <v>0</v>
      </c>
      <c r="AV31" s="55">
        <f t="shared" si="17"/>
        <v>0</v>
      </c>
      <c r="AW31" s="56">
        <v>0</v>
      </c>
      <c r="AX31" s="141">
        <f t="shared" si="18"/>
        <v>0</v>
      </c>
      <c r="AY31" s="56"/>
      <c r="AZ31" s="55">
        <f t="shared" si="19"/>
        <v>0</v>
      </c>
      <c r="BA31" s="142">
        <v>0</v>
      </c>
      <c r="BB31" s="55">
        <f t="shared" si="79"/>
        <v>0</v>
      </c>
      <c r="BC31" s="4"/>
      <c r="BD31" s="4"/>
      <c r="BE31" s="4"/>
      <c r="BF31" s="4"/>
      <c r="BG31" s="4"/>
      <c r="BH31" s="4"/>
      <c r="BI31" s="4"/>
      <c r="BJ31" s="4"/>
      <c r="BK31" s="4"/>
      <c r="BL31" s="4"/>
      <c r="BM31" s="66"/>
      <c r="BN31" s="66"/>
      <c r="BO31" s="66"/>
      <c r="BP31" s="66"/>
      <c r="BQ31" s="66"/>
      <c r="BR31" s="66"/>
      <c r="BS31" s="66"/>
      <c r="BT31" s="66"/>
      <c r="BU31" s="66"/>
      <c r="BV31" s="66"/>
    </row>
    <row r="32" spans="1:74" s="153" customFormat="1" ht="25.5" x14ac:dyDescent="0.2">
      <c r="A32" s="143" t="s">
        <v>220</v>
      </c>
      <c r="B32" s="144" t="s">
        <v>223</v>
      </c>
      <c r="C32" s="145">
        <v>30.8</v>
      </c>
      <c r="D32" s="146"/>
      <c r="E32" s="146"/>
      <c r="F32" s="142">
        <f t="shared" si="7"/>
        <v>0</v>
      </c>
      <c r="G32" s="146">
        <v>0</v>
      </c>
      <c r="H32" s="148"/>
      <c r="I32" s="146">
        <v>0</v>
      </c>
      <c r="J32" s="149">
        <f t="shared" si="68"/>
        <v>0</v>
      </c>
      <c r="K32" s="149">
        <f t="shared" si="68"/>
        <v>0</v>
      </c>
      <c r="L32" s="149">
        <f t="shared" si="68"/>
        <v>0</v>
      </c>
      <c r="M32" s="149">
        <f t="shared" si="68"/>
        <v>0</v>
      </c>
      <c r="N32" s="149">
        <f t="shared" si="68"/>
        <v>0</v>
      </c>
      <c r="O32" s="149">
        <f t="shared" si="68"/>
        <v>0</v>
      </c>
      <c r="P32" s="149">
        <f t="shared" si="68"/>
        <v>0</v>
      </c>
      <c r="Q32" s="146">
        <v>0</v>
      </c>
      <c r="R32" s="147">
        <v>0</v>
      </c>
      <c r="S32" s="149">
        <f t="shared" si="11"/>
        <v>0</v>
      </c>
      <c r="T32" s="149">
        <f t="shared" si="11"/>
        <v>0</v>
      </c>
      <c r="U32" s="146">
        <v>0</v>
      </c>
      <c r="V32" s="147">
        <v>0</v>
      </c>
      <c r="W32" s="146"/>
      <c r="X32" s="147">
        <f>W32/C32</f>
        <v>0</v>
      </c>
      <c r="Y32" s="149">
        <f>V32</f>
        <v>0</v>
      </c>
      <c r="Z32" s="149">
        <f>W32</f>
        <v>0</v>
      </c>
      <c r="AA32" s="149">
        <f>Z32</f>
        <v>0</v>
      </c>
      <c r="AB32" s="149">
        <f>AA32</f>
        <v>0</v>
      </c>
      <c r="AC32" s="149">
        <f>AB32</f>
        <v>0</v>
      </c>
      <c r="AD32" s="149">
        <f>AC32</f>
        <v>0</v>
      </c>
      <c r="AE32" s="146">
        <v>0</v>
      </c>
      <c r="AF32" s="147">
        <f t="shared" si="76"/>
        <v>0</v>
      </c>
      <c r="AG32" s="150">
        <f t="shared" si="77"/>
        <v>0</v>
      </c>
      <c r="AH32" s="150">
        <f t="shared" si="77"/>
        <v>0</v>
      </c>
      <c r="AI32" s="150">
        <f t="shared" si="69"/>
        <v>0</v>
      </c>
      <c r="AJ32" s="142">
        <v>0</v>
      </c>
      <c r="AK32" s="146">
        <f t="shared" si="21"/>
        <v>0</v>
      </c>
      <c r="AL32" s="142"/>
      <c r="AM32" s="146">
        <f t="shared" si="13"/>
        <v>0</v>
      </c>
      <c r="AN32" s="142"/>
      <c r="AO32" s="55">
        <f t="shared" si="14"/>
        <v>0</v>
      </c>
      <c r="AP32" s="150"/>
      <c r="AQ32" s="146">
        <v>0</v>
      </c>
      <c r="AR32" s="147">
        <f t="shared" si="78"/>
        <v>0</v>
      </c>
      <c r="AS32" s="150">
        <f t="shared" si="16"/>
        <v>0</v>
      </c>
      <c r="AT32" s="150">
        <f t="shared" si="16"/>
        <v>0</v>
      </c>
      <c r="AU32" s="56">
        <v>0</v>
      </c>
      <c r="AV32" s="147">
        <f t="shared" si="17"/>
        <v>0</v>
      </c>
      <c r="AW32" s="146"/>
      <c r="AX32" s="141">
        <f t="shared" ref="AX32:AX37" si="81">AW32/C32</f>
        <v>0</v>
      </c>
      <c r="AY32" s="56">
        <v>0</v>
      </c>
      <c r="AZ32" s="147">
        <f t="shared" si="19"/>
        <v>0</v>
      </c>
      <c r="BA32" s="148">
        <v>0</v>
      </c>
      <c r="BB32" s="147">
        <f t="shared" si="79"/>
        <v>0</v>
      </c>
      <c r="BC32" s="151"/>
      <c r="BD32" s="151"/>
      <c r="BE32" s="151"/>
      <c r="BF32" s="151"/>
      <c r="BG32" s="151"/>
      <c r="BH32" s="151"/>
      <c r="BI32" s="151"/>
      <c r="BJ32" s="151"/>
      <c r="BK32" s="151"/>
      <c r="BL32" s="151"/>
      <c r="BM32" s="152"/>
      <c r="BN32" s="152"/>
      <c r="BO32" s="152"/>
      <c r="BP32" s="152"/>
      <c r="BQ32" s="152"/>
      <c r="BR32" s="152"/>
      <c r="BS32" s="152"/>
      <c r="BT32" s="152"/>
      <c r="BU32" s="152"/>
      <c r="BV32" s="152"/>
    </row>
    <row r="33" spans="1:74" s="67" customFormat="1" x14ac:dyDescent="0.2">
      <c r="A33" s="68" t="s">
        <v>17</v>
      </c>
      <c r="B33" s="63" t="s">
        <v>123</v>
      </c>
      <c r="C33" s="64">
        <v>15</v>
      </c>
      <c r="D33" s="56">
        <f t="shared" si="0"/>
        <v>1022.1284249999999</v>
      </c>
      <c r="E33" s="141">
        <f>RCFs!$C$43</f>
        <v>68.141894999999991</v>
      </c>
      <c r="F33" s="142">
        <f t="shared" si="7"/>
        <v>693.1</v>
      </c>
      <c r="G33" s="55">
        <f t="shared" ref="G33:G37" si="82">F33/C33</f>
        <v>46.206666666666671</v>
      </c>
      <c r="H33" s="142">
        <v>720.2</v>
      </c>
      <c r="I33" s="55">
        <f t="shared" si="9"/>
        <v>48.013333333333335</v>
      </c>
      <c r="J33" s="65">
        <f t="shared" si="68"/>
        <v>792.2</v>
      </c>
      <c r="K33" s="65">
        <f t="shared" si="68"/>
        <v>986.7</v>
      </c>
      <c r="L33" s="65">
        <f t="shared" si="68"/>
        <v>1058.7</v>
      </c>
      <c r="M33" s="65">
        <f t="shared" si="68"/>
        <v>1166.7</v>
      </c>
      <c r="N33" s="65">
        <f t="shared" si="68"/>
        <v>1440.4</v>
      </c>
      <c r="O33" s="65">
        <f t="shared" si="68"/>
        <v>1548.4</v>
      </c>
      <c r="P33" s="65">
        <f t="shared" si="68"/>
        <v>2160.6</v>
      </c>
      <c r="Q33" s="56">
        <v>741.3</v>
      </c>
      <c r="R33" s="55">
        <f t="shared" si="10"/>
        <v>49.419999999999995</v>
      </c>
      <c r="S33" s="65">
        <f t="shared" si="11"/>
        <v>963.6</v>
      </c>
      <c r="T33" s="65">
        <f t="shared" si="11"/>
        <v>1111.9000000000001</v>
      </c>
      <c r="U33" s="56">
        <v>717.3</v>
      </c>
      <c r="V33" s="55">
        <f t="shared" si="12"/>
        <v>47.82</v>
      </c>
      <c r="W33" s="56">
        <v>763.8</v>
      </c>
      <c r="X33" s="55">
        <f t="shared" si="73"/>
        <v>50.919999999999995</v>
      </c>
      <c r="Y33" s="65">
        <f t="shared" si="74"/>
        <v>840.2</v>
      </c>
      <c r="Z33" s="65">
        <v>0</v>
      </c>
      <c r="AA33" s="65">
        <f t="shared" ref="AA33:AD35" si="83">ROUND($C33*$X33*AA$6,1)</f>
        <v>1237.4000000000001</v>
      </c>
      <c r="AB33" s="65">
        <f t="shared" si="83"/>
        <v>1122.8</v>
      </c>
      <c r="AC33" s="65">
        <f t="shared" si="83"/>
        <v>1657.4</v>
      </c>
      <c r="AD33" s="65">
        <f t="shared" si="83"/>
        <v>2291.4</v>
      </c>
      <c r="AE33" s="56">
        <v>695.2</v>
      </c>
      <c r="AF33" s="55">
        <f t="shared" si="76"/>
        <v>46.346666666666671</v>
      </c>
      <c r="AG33" s="61">
        <f t="shared" si="77"/>
        <v>1147.0999999999999</v>
      </c>
      <c r="AH33" s="61">
        <f t="shared" si="77"/>
        <v>1459.9</v>
      </c>
      <c r="AI33" s="61">
        <f t="shared" si="69"/>
        <v>2085.6</v>
      </c>
      <c r="AJ33" s="142">
        <v>697.4</v>
      </c>
      <c r="AK33" s="55">
        <f t="shared" si="21"/>
        <v>46.493333333333332</v>
      </c>
      <c r="AL33" s="142">
        <v>990.3</v>
      </c>
      <c r="AM33" s="55">
        <f t="shared" si="13"/>
        <v>66.02</v>
      </c>
      <c r="AN33" s="142">
        <v>777.5</v>
      </c>
      <c r="AO33" s="55">
        <f t="shared" si="14"/>
        <v>51.833333333333336</v>
      </c>
      <c r="AP33" s="61">
        <f t="shared" si="15"/>
        <v>1166.2</v>
      </c>
      <c r="AQ33" s="142">
        <v>726.3</v>
      </c>
      <c r="AR33" s="55">
        <f t="shared" si="78"/>
        <v>48.419999999999995</v>
      </c>
      <c r="AS33" s="142">
        <f t="shared" si="16"/>
        <v>944.1</v>
      </c>
      <c r="AT33" s="142">
        <f t="shared" si="16"/>
        <v>1053.0999999999999</v>
      </c>
      <c r="AU33" s="142">
        <v>750.4</v>
      </c>
      <c r="AV33" s="141">
        <f t="shared" si="17"/>
        <v>50.026666666666664</v>
      </c>
      <c r="AW33" s="142">
        <v>758.5</v>
      </c>
      <c r="AX33" s="141">
        <f t="shared" si="81"/>
        <v>50.56666666666667</v>
      </c>
      <c r="AY33" s="56"/>
      <c r="AZ33" s="55">
        <f t="shared" si="19"/>
        <v>0</v>
      </c>
      <c r="BA33" s="142">
        <v>737.9</v>
      </c>
      <c r="BB33" s="55">
        <f t="shared" si="79"/>
        <v>49.193333333333335</v>
      </c>
      <c r="BC33" s="4"/>
      <c r="BD33" s="4"/>
      <c r="BE33" s="4"/>
      <c r="BF33" s="4"/>
      <c r="BG33" s="4"/>
      <c r="BH33" s="4"/>
      <c r="BI33" s="4"/>
      <c r="BJ33" s="4"/>
      <c r="BK33" s="4"/>
      <c r="BL33" s="4"/>
      <c r="BM33" s="66"/>
      <c r="BN33" s="66"/>
      <c r="BO33" s="66"/>
      <c r="BP33" s="66"/>
      <c r="BQ33" s="66"/>
      <c r="BR33" s="66"/>
      <c r="BS33" s="66"/>
      <c r="BT33" s="66"/>
      <c r="BU33" s="66"/>
      <c r="BV33" s="66"/>
    </row>
    <row r="34" spans="1:74" s="67" customFormat="1" x14ac:dyDescent="0.2">
      <c r="A34" s="68" t="s">
        <v>18</v>
      </c>
      <c r="B34" s="63" t="s">
        <v>123</v>
      </c>
      <c r="C34" s="64">
        <v>30</v>
      </c>
      <c r="D34" s="56">
        <f t="shared" si="0"/>
        <v>2044.2568499999998</v>
      </c>
      <c r="E34" s="141">
        <f>RCFs!$C$43</f>
        <v>68.141894999999991</v>
      </c>
      <c r="F34" s="142">
        <f t="shared" si="7"/>
        <v>693.1</v>
      </c>
      <c r="G34" s="55">
        <f t="shared" si="82"/>
        <v>23.103333333333335</v>
      </c>
      <c r="H34" s="142">
        <v>720.2</v>
      </c>
      <c r="I34" s="55">
        <f t="shared" si="9"/>
        <v>24.006666666666668</v>
      </c>
      <c r="J34" s="65">
        <f t="shared" si="68"/>
        <v>792.2</v>
      </c>
      <c r="K34" s="65">
        <f t="shared" si="68"/>
        <v>986.7</v>
      </c>
      <c r="L34" s="65">
        <f t="shared" si="68"/>
        <v>1058.7</v>
      </c>
      <c r="M34" s="65">
        <f t="shared" si="68"/>
        <v>1166.7</v>
      </c>
      <c r="N34" s="65">
        <f t="shared" si="68"/>
        <v>1440.4</v>
      </c>
      <c r="O34" s="65">
        <f t="shared" si="68"/>
        <v>1548.4</v>
      </c>
      <c r="P34" s="65">
        <f t="shared" si="68"/>
        <v>2160.6</v>
      </c>
      <c r="Q34" s="56">
        <v>741.3</v>
      </c>
      <c r="R34" s="55">
        <f t="shared" si="10"/>
        <v>24.709999999999997</v>
      </c>
      <c r="S34" s="65">
        <f t="shared" si="11"/>
        <v>963.6</v>
      </c>
      <c r="T34" s="65">
        <f t="shared" si="11"/>
        <v>1111.9000000000001</v>
      </c>
      <c r="U34" s="56">
        <v>717.3</v>
      </c>
      <c r="V34" s="55">
        <f t="shared" si="12"/>
        <v>23.91</v>
      </c>
      <c r="W34" s="56">
        <v>763.8</v>
      </c>
      <c r="X34" s="55">
        <f t="shared" si="73"/>
        <v>25.459999999999997</v>
      </c>
      <c r="Y34" s="65">
        <f t="shared" si="74"/>
        <v>840.2</v>
      </c>
      <c r="Z34" s="65">
        <v>0</v>
      </c>
      <c r="AA34" s="65">
        <f t="shared" si="83"/>
        <v>1237.4000000000001</v>
      </c>
      <c r="AB34" s="65">
        <f t="shared" si="83"/>
        <v>1122.8</v>
      </c>
      <c r="AC34" s="65">
        <f t="shared" si="83"/>
        <v>1657.4</v>
      </c>
      <c r="AD34" s="65">
        <f t="shared" si="83"/>
        <v>2291.4</v>
      </c>
      <c r="AE34" s="56">
        <v>695.2</v>
      </c>
      <c r="AF34" s="55">
        <f t="shared" si="76"/>
        <v>23.173333333333336</v>
      </c>
      <c r="AG34" s="61">
        <f t="shared" si="77"/>
        <v>1147.0999999999999</v>
      </c>
      <c r="AH34" s="61">
        <f t="shared" si="77"/>
        <v>1459.9</v>
      </c>
      <c r="AI34" s="61">
        <f t="shared" si="69"/>
        <v>2085.6</v>
      </c>
      <c r="AJ34" s="142">
        <v>697.4</v>
      </c>
      <c r="AK34" s="55">
        <f t="shared" si="21"/>
        <v>23.246666666666666</v>
      </c>
      <c r="AL34" s="142">
        <v>990.3</v>
      </c>
      <c r="AM34" s="55">
        <f t="shared" si="13"/>
        <v>33.01</v>
      </c>
      <c r="AN34" s="142">
        <v>777.5</v>
      </c>
      <c r="AO34" s="55">
        <f t="shared" si="14"/>
        <v>25.916666666666668</v>
      </c>
      <c r="AP34" s="61">
        <f t="shared" si="15"/>
        <v>1166.2</v>
      </c>
      <c r="AQ34" s="142">
        <v>726.3</v>
      </c>
      <c r="AR34" s="55">
        <f t="shared" si="78"/>
        <v>24.209999999999997</v>
      </c>
      <c r="AS34" s="142">
        <f t="shared" si="16"/>
        <v>944.1</v>
      </c>
      <c r="AT34" s="142">
        <f t="shared" si="16"/>
        <v>1053.0999999999999</v>
      </c>
      <c r="AU34" s="142">
        <v>750.4</v>
      </c>
      <c r="AV34" s="141">
        <f t="shared" si="17"/>
        <v>25.013333333333332</v>
      </c>
      <c r="AW34" s="142">
        <v>758.5</v>
      </c>
      <c r="AX34" s="141">
        <f t="shared" si="81"/>
        <v>25.283333333333335</v>
      </c>
      <c r="AY34" s="56"/>
      <c r="AZ34" s="55">
        <f t="shared" si="19"/>
        <v>0</v>
      </c>
      <c r="BA34" s="142">
        <v>737.9</v>
      </c>
      <c r="BB34" s="55">
        <f t="shared" si="79"/>
        <v>24.596666666666668</v>
      </c>
      <c r="BC34" s="4"/>
      <c r="BD34" s="4"/>
      <c r="BE34" s="4"/>
      <c r="BF34" s="4"/>
      <c r="BG34" s="4"/>
      <c r="BH34" s="4"/>
      <c r="BI34" s="4"/>
      <c r="BJ34" s="4"/>
      <c r="BK34" s="4"/>
      <c r="BL34" s="4"/>
      <c r="BM34" s="66"/>
      <c r="BN34" s="66"/>
      <c r="BO34" s="66"/>
      <c r="BP34" s="66"/>
      <c r="BQ34" s="66"/>
      <c r="BR34" s="66"/>
      <c r="BS34" s="66"/>
      <c r="BT34" s="66"/>
      <c r="BU34" s="66"/>
      <c r="BV34" s="66"/>
    </row>
    <row r="35" spans="1:74" s="67" customFormat="1" x14ac:dyDescent="0.2">
      <c r="A35" s="68" t="s">
        <v>19</v>
      </c>
      <c r="B35" s="63" t="s">
        <v>123</v>
      </c>
      <c r="C35" s="64">
        <v>45</v>
      </c>
      <c r="D35" s="56">
        <f t="shared" si="0"/>
        <v>3066.3852749999996</v>
      </c>
      <c r="E35" s="141">
        <f>RCFs!$C$43</f>
        <v>68.141894999999991</v>
      </c>
      <c r="F35" s="142">
        <f t="shared" si="7"/>
        <v>693.1</v>
      </c>
      <c r="G35" s="55">
        <f t="shared" si="82"/>
        <v>15.402222222222223</v>
      </c>
      <c r="H35" s="142">
        <v>720.2</v>
      </c>
      <c r="I35" s="55">
        <f t="shared" si="9"/>
        <v>16.004444444444445</v>
      </c>
      <c r="J35" s="65">
        <f t="shared" si="68"/>
        <v>792.2</v>
      </c>
      <c r="K35" s="65">
        <f t="shared" si="68"/>
        <v>986.7</v>
      </c>
      <c r="L35" s="65">
        <f t="shared" si="68"/>
        <v>1058.7</v>
      </c>
      <c r="M35" s="65">
        <f t="shared" si="68"/>
        <v>1166.7</v>
      </c>
      <c r="N35" s="65">
        <f t="shared" si="68"/>
        <v>1440.4</v>
      </c>
      <c r="O35" s="65">
        <f t="shared" si="68"/>
        <v>1548.4</v>
      </c>
      <c r="P35" s="65">
        <f t="shared" si="68"/>
        <v>2160.6</v>
      </c>
      <c r="Q35" s="56">
        <v>741.3</v>
      </c>
      <c r="R35" s="55">
        <f t="shared" si="10"/>
        <v>16.473333333333333</v>
      </c>
      <c r="S35" s="65">
        <f t="shared" si="11"/>
        <v>963.6</v>
      </c>
      <c r="T35" s="65">
        <f t="shared" si="11"/>
        <v>1111.9000000000001</v>
      </c>
      <c r="U35" s="56">
        <v>717.3</v>
      </c>
      <c r="V35" s="55">
        <f t="shared" si="12"/>
        <v>15.94</v>
      </c>
      <c r="W35" s="56">
        <v>763.8</v>
      </c>
      <c r="X35" s="55">
        <f t="shared" si="73"/>
        <v>16.973333333333333</v>
      </c>
      <c r="Y35" s="65">
        <f t="shared" si="74"/>
        <v>840.2</v>
      </c>
      <c r="Z35" s="65">
        <v>0</v>
      </c>
      <c r="AA35" s="65">
        <f t="shared" si="83"/>
        <v>1237.4000000000001</v>
      </c>
      <c r="AB35" s="65">
        <f t="shared" si="83"/>
        <v>1122.8</v>
      </c>
      <c r="AC35" s="65">
        <f t="shared" si="83"/>
        <v>1657.4</v>
      </c>
      <c r="AD35" s="65">
        <f t="shared" si="83"/>
        <v>2291.4</v>
      </c>
      <c r="AE35" s="56">
        <v>695.2</v>
      </c>
      <c r="AF35" s="55">
        <f t="shared" si="76"/>
        <v>15.44888888888889</v>
      </c>
      <c r="AG35" s="61">
        <f t="shared" si="77"/>
        <v>1147.0999999999999</v>
      </c>
      <c r="AH35" s="61">
        <f t="shared" si="77"/>
        <v>1459.9</v>
      </c>
      <c r="AI35" s="61">
        <f t="shared" si="69"/>
        <v>2085.6</v>
      </c>
      <c r="AJ35" s="142">
        <v>697.4</v>
      </c>
      <c r="AK35" s="55">
        <f t="shared" si="21"/>
        <v>15.497777777777777</v>
      </c>
      <c r="AL35" s="142">
        <v>990.3</v>
      </c>
      <c r="AM35" s="55">
        <f t="shared" si="13"/>
        <v>22.006666666666664</v>
      </c>
      <c r="AN35" s="142">
        <v>777.5</v>
      </c>
      <c r="AO35" s="55">
        <f t="shared" si="14"/>
        <v>17.277777777777779</v>
      </c>
      <c r="AP35" s="61">
        <f t="shared" si="15"/>
        <v>1166.2</v>
      </c>
      <c r="AQ35" s="142">
        <v>726.3</v>
      </c>
      <c r="AR35" s="55">
        <f t="shared" si="78"/>
        <v>16.14</v>
      </c>
      <c r="AS35" s="142">
        <f t="shared" si="16"/>
        <v>944.1</v>
      </c>
      <c r="AT35" s="142">
        <f t="shared" si="16"/>
        <v>1053.0999999999999</v>
      </c>
      <c r="AU35" s="142">
        <v>750.4</v>
      </c>
      <c r="AV35" s="141">
        <f t="shared" si="17"/>
        <v>16.675555555555555</v>
      </c>
      <c r="AW35" s="142">
        <v>758.5</v>
      </c>
      <c r="AX35" s="141">
        <f t="shared" si="81"/>
        <v>16.855555555555554</v>
      </c>
      <c r="AY35" s="56"/>
      <c r="AZ35" s="55">
        <f t="shared" si="19"/>
        <v>0</v>
      </c>
      <c r="BA35" s="142">
        <v>737.9</v>
      </c>
      <c r="BB35" s="55">
        <f t="shared" si="79"/>
        <v>16.397777777777776</v>
      </c>
      <c r="BC35" s="4"/>
      <c r="BD35" s="4"/>
      <c r="BE35" s="4"/>
      <c r="BF35" s="4"/>
      <c r="BG35" s="4"/>
      <c r="BH35" s="4"/>
      <c r="BI35" s="4"/>
      <c r="BJ35" s="4"/>
      <c r="BK35" s="4"/>
      <c r="BL35" s="4"/>
      <c r="BM35" s="66"/>
      <c r="BN35" s="66"/>
      <c r="BO35" s="66"/>
      <c r="BP35" s="66"/>
      <c r="BQ35" s="66"/>
      <c r="BR35" s="66"/>
      <c r="BS35" s="66"/>
      <c r="BT35" s="66"/>
      <c r="BU35" s="66"/>
      <c r="BV35" s="66"/>
    </row>
    <row r="36" spans="1:74" s="67" customFormat="1" x14ac:dyDescent="0.2">
      <c r="A36" s="68" t="s">
        <v>103</v>
      </c>
      <c r="B36" s="63" t="s">
        <v>123</v>
      </c>
      <c r="C36" s="64">
        <v>52.5</v>
      </c>
      <c r="D36" s="56">
        <f t="shared" si="0"/>
        <v>3577.4494874999996</v>
      </c>
      <c r="E36" s="141">
        <f>RCFs!$C$43</f>
        <v>68.141894999999991</v>
      </c>
      <c r="F36" s="142">
        <f t="shared" si="7"/>
        <v>0</v>
      </c>
      <c r="G36" s="55">
        <f t="shared" si="82"/>
        <v>0</v>
      </c>
      <c r="H36" s="142">
        <v>0</v>
      </c>
      <c r="I36" s="55">
        <f t="shared" si="9"/>
        <v>0</v>
      </c>
      <c r="J36" s="65">
        <f t="shared" si="68"/>
        <v>0</v>
      </c>
      <c r="K36" s="65">
        <f t="shared" si="68"/>
        <v>0</v>
      </c>
      <c r="L36" s="65">
        <f t="shared" si="68"/>
        <v>0</v>
      </c>
      <c r="M36" s="65">
        <f t="shared" si="68"/>
        <v>0</v>
      </c>
      <c r="N36" s="65">
        <f t="shared" si="68"/>
        <v>0</v>
      </c>
      <c r="O36" s="65">
        <f t="shared" si="68"/>
        <v>0</v>
      </c>
      <c r="P36" s="65">
        <f t="shared" si="68"/>
        <v>0</v>
      </c>
      <c r="Q36" s="56"/>
      <c r="R36" s="55">
        <f t="shared" si="10"/>
        <v>0</v>
      </c>
      <c r="S36" s="65">
        <f t="shared" si="11"/>
        <v>0</v>
      </c>
      <c r="T36" s="65">
        <f t="shared" si="11"/>
        <v>0</v>
      </c>
      <c r="U36" s="56">
        <v>717.3</v>
      </c>
      <c r="V36" s="55">
        <f t="shared" si="12"/>
        <v>13.662857142857142</v>
      </c>
      <c r="W36" s="56">
        <v>763.8</v>
      </c>
      <c r="X36" s="55">
        <f t="shared" si="73"/>
        <v>14.548571428571428</v>
      </c>
      <c r="Y36" s="65">
        <v>0</v>
      </c>
      <c r="Z36" s="65">
        <v>0</v>
      </c>
      <c r="AA36" s="65">
        <f>ROUND($C36*$X36*AA$6,1)</f>
        <v>1237.4000000000001</v>
      </c>
      <c r="AB36" s="65">
        <f>ROUND($C36*$X36*AB$6,1)</f>
        <v>1122.8</v>
      </c>
      <c r="AC36" s="65">
        <f>ROUND($C36*$X36*AC$6,1)</f>
        <v>1657.4</v>
      </c>
      <c r="AD36" s="65">
        <v>0</v>
      </c>
      <c r="AE36" s="56">
        <v>0</v>
      </c>
      <c r="AF36" s="55">
        <f t="shared" si="76"/>
        <v>0</v>
      </c>
      <c r="AG36" s="61">
        <f t="shared" si="77"/>
        <v>0</v>
      </c>
      <c r="AH36" s="61">
        <f t="shared" si="77"/>
        <v>0</v>
      </c>
      <c r="AI36" s="61">
        <f t="shared" si="69"/>
        <v>0</v>
      </c>
      <c r="AJ36" s="142">
        <v>697.4</v>
      </c>
      <c r="AK36" s="55">
        <f t="shared" si="21"/>
        <v>13.283809523809524</v>
      </c>
      <c r="AL36" s="142">
        <v>990.3</v>
      </c>
      <c r="AM36" s="55">
        <f t="shared" si="13"/>
        <v>18.862857142857141</v>
      </c>
      <c r="AN36" s="142"/>
      <c r="AO36" s="55">
        <f t="shared" si="14"/>
        <v>0</v>
      </c>
      <c r="AP36" s="61">
        <f t="shared" si="15"/>
        <v>0</v>
      </c>
      <c r="AQ36" s="142">
        <v>0</v>
      </c>
      <c r="AR36" s="55">
        <f t="shared" si="78"/>
        <v>0</v>
      </c>
      <c r="AS36" s="142">
        <f t="shared" si="16"/>
        <v>0</v>
      </c>
      <c r="AT36" s="142">
        <f t="shared" si="16"/>
        <v>0</v>
      </c>
      <c r="AU36" s="142">
        <v>750.4</v>
      </c>
      <c r="AV36" s="141">
        <f t="shared" si="17"/>
        <v>14.293333333333333</v>
      </c>
      <c r="AW36" s="142">
        <v>1855.5</v>
      </c>
      <c r="AX36" s="141">
        <f t="shared" si="81"/>
        <v>35.342857142857142</v>
      </c>
      <c r="AY36" s="56">
        <v>0</v>
      </c>
      <c r="AZ36" s="55">
        <f t="shared" si="19"/>
        <v>0</v>
      </c>
      <c r="BA36" s="142">
        <v>0</v>
      </c>
      <c r="BB36" s="55">
        <f t="shared" si="79"/>
        <v>0</v>
      </c>
      <c r="BC36" s="4"/>
      <c r="BD36" s="4"/>
      <c r="BE36" s="4"/>
      <c r="BF36" s="4"/>
      <c r="BG36" s="4"/>
      <c r="BH36" s="4"/>
      <c r="BI36" s="4"/>
      <c r="BJ36" s="4"/>
      <c r="BK36" s="4"/>
      <c r="BL36" s="4"/>
      <c r="BM36" s="66"/>
      <c r="BN36" s="66"/>
      <c r="BO36" s="66"/>
      <c r="BP36" s="66"/>
      <c r="BQ36" s="66"/>
      <c r="BR36" s="66"/>
      <c r="BS36" s="66"/>
      <c r="BT36" s="66"/>
      <c r="BU36" s="66"/>
      <c r="BV36" s="66"/>
    </row>
    <row r="37" spans="1:74" s="67" customFormat="1" x14ac:dyDescent="0.2">
      <c r="A37" s="68" t="s">
        <v>13</v>
      </c>
      <c r="B37" s="63" t="s">
        <v>14</v>
      </c>
      <c r="C37" s="64">
        <v>21.43</v>
      </c>
      <c r="D37" s="56">
        <f t="shared" si="0"/>
        <v>1460.2808098499997</v>
      </c>
      <c r="E37" s="141">
        <f>RCFs!$C$43</f>
        <v>68.141894999999991</v>
      </c>
      <c r="F37" s="142">
        <f t="shared" si="7"/>
        <v>571.70000000000005</v>
      </c>
      <c r="G37" s="55">
        <f t="shared" si="82"/>
        <v>26.677554829678023</v>
      </c>
      <c r="H37" s="142">
        <v>594.1</v>
      </c>
      <c r="I37" s="55">
        <f t="shared" si="9"/>
        <v>27.722818478768083</v>
      </c>
      <c r="J37" s="65">
        <f t="shared" si="68"/>
        <v>653.5</v>
      </c>
      <c r="K37" s="65">
        <f t="shared" si="68"/>
        <v>813.9</v>
      </c>
      <c r="L37" s="65">
        <f t="shared" si="68"/>
        <v>873.3</v>
      </c>
      <c r="M37" s="65">
        <f t="shared" si="68"/>
        <v>962.4</v>
      </c>
      <c r="N37" s="65">
        <f t="shared" si="68"/>
        <v>1188.2</v>
      </c>
      <c r="O37" s="65">
        <f t="shared" si="68"/>
        <v>1277.3</v>
      </c>
      <c r="P37" s="65">
        <f t="shared" si="68"/>
        <v>1782.3</v>
      </c>
      <c r="Q37" s="56">
        <v>611.20000000000005</v>
      </c>
      <c r="R37" s="55">
        <f t="shared" si="10"/>
        <v>28.520765282314514</v>
      </c>
      <c r="S37" s="65">
        <f t="shared" si="11"/>
        <v>794.5</v>
      </c>
      <c r="T37" s="65">
        <f t="shared" si="11"/>
        <v>916.8</v>
      </c>
      <c r="U37" s="56">
        <v>558.9</v>
      </c>
      <c r="V37" s="55">
        <f t="shared" si="12"/>
        <v>26.080261315912271</v>
      </c>
      <c r="W37" s="56">
        <v>595.29999999999995</v>
      </c>
      <c r="X37" s="55">
        <f t="shared" si="73"/>
        <v>27.778814745683619</v>
      </c>
      <c r="Y37" s="65">
        <f t="shared" ref="Y37:AD37" si="84">$W$37</f>
        <v>595.29999999999995</v>
      </c>
      <c r="Z37" s="65">
        <f t="shared" si="84"/>
        <v>595.29999999999995</v>
      </c>
      <c r="AA37" s="65">
        <f t="shared" si="84"/>
        <v>595.29999999999995</v>
      </c>
      <c r="AB37" s="65">
        <f t="shared" si="84"/>
        <v>595.29999999999995</v>
      </c>
      <c r="AC37" s="65">
        <f t="shared" si="84"/>
        <v>595.29999999999995</v>
      </c>
      <c r="AD37" s="65">
        <f t="shared" si="84"/>
        <v>595.29999999999995</v>
      </c>
      <c r="AE37" s="56">
        <v>573.4</v>
      </c>
      <c r="AF37" s="55">
        <f t="shared" si="76"/>
        <v>26.756882874475036</v>
      </c>
      <c r="AG37" s="61">
        <f t="shared" si="77"/>
        <v>946.1</v>
      </c>
      <c r="AH37" s="61">
        <f t="shared" si="77"/>
        <v>1204.0999999999999</v>
      </c>
      <c r="AI37" s="61">
        <f t="shared" si="69"/>
        <v>1720.2</v>
      </c>
      <c r="AJ37" s="142">
        <v>545</v>
      </c>
      <c r="AK37" s="55">
        <f t="shared" si="21"/>
        <v>25.431637890807281</v>
      </c>
      <c r="AL37" s="142">
        <v>751.5</v>
      </c>
      <c r="AM37" s="55">
        <f t="shared" si="13"/>
        <v>35.067662155856276</v>
      </c>
      <c r="AN37" s="142">
        <v>640.70000000000005</v>
      </c>
      <c r="AO37" s="55">
        <f t="shared" si="14"/>
        <v>29.897340177321514</v>
      </c>
      <c r="AP37" s="61">
        <f t="shared" si="15"/>
        <v>961</v>
      </c>
      <c r="AQ37" s="142">
        <v>598.70000000000005</v>
      </c>
      <c r="AR37" s="55">
        <f t="shared" si="78"/>
        <v>27.937470835277651</v>
      </c>
      <c r="AS37" s="61">
        <f t="shared" si="16"/>
        <v>778.3</v>
      </c>
      <c r="AT37" s="61">
        <v>0</v>
      </c>
      <c r="AU37" s="56">
        <v>750.4</v>
      </c>
      <c r="AV37" s="55">
        <f t="shared" si="17"/>
        <v>35.016332244517031</v>
      </c>
      <c r="AW37" s="56">
        <v>625.20000000000005</v>
      </c>
      <c r="AX37" s="141">
        <f t="shared" si="81"/>
        <v>29.174055062995802</v>
      </c>
      <c r="AY37" s="56"/>
      <c r="AZ37" s="55">
        <f t="shared" si="19"/>
        <v>0</v>
      </c>
      <c r="BA37" s="186">
        <f t="shared" ref="BA37:BA39" si="85">BB37*$C37</f>
        <v>608.33340999999996</v>
      </c>
      <c r="BB37" s="55">
        <f>RCFs!I$41</f>
        <v>28.387</v>
      </c>
      <c r="BC37" s="4"/>
      <c r="BD37" s="4"/>
      <c r="BE37" s="4"/>
      <c r="BF37" s="4"/>
      <c r="BG37" s="4"/>
      <c r="BH37" s="4"/>
      <c r="BI37" s="4"/>
      <c r="BJ37" s="4"/>
      <c r="BK37" s="4"/>
      <c r="BL37" s="4"/>
      <c r="BM37" s="66"/>
      <c r="BN37" s="66"/>
      <c r="BO37" s="66"/>
      <c r="BP37" s="66"/>
      <c r="BQ37" s="66"/>
      <c r="BR37" s="66"/>
      <c r="BS37" s="66"/>
      <c r="BT37" s="66"/>
      <c r="BU37" s="66"/>
      <c r="BV37" s="66"/>
    </row>
    <row r="38" spans="1:74" s="153" customFormat="1" x14ac:dyDescent="0.2">
      <c r="A38" s="143" t="s">
        <v>225</v>
      </c>
      <c r="B38" s="144" t="s">
        <v>224</v>
      </c>
      <c r="C38" s="145"/>
      <c r="D38" s="146"/>
      <c r="E38" s="146"/>
      <c r="F38" s="146"/>
      <c r="G38" s="146">
        <v>0</v>
      </c>
      <c r="H38" s="146">
        <f t="shared" ref="H38" si="86">ROUNDDOWN(F38*1.039*1.05,1)</f>
        <v>0</v>
      </c>
      <c r="I38" s="146">
        <v>0</v>
      </c>
      <c r="J38" s="149">
        <f t="shared" si="68"/>
        <v>0</v>
      </c>
      <c r="K38" s="149">
        <f t="shared" si="68"/>
        <v>0</v>
      </c>
      <c r="L38" s="149">
        <f t="shared" si="68"/>
        <v>0</v>
      </c>
      <c r="M38" s="149">
        <f t="shared" si="68"/>
        <v>0</v>
      </c>
      <c r="N38" s="149">
        <f t="shared" si="68"/>
        <v>0</v>
      </c>
      <c r="O38" s="149">
        <f t="shared" si="68"/>
        <v>0</v>
      </c>
      <c r="P38" s="149">
        <f t="shared" si="68"/>
        <v>0</v>
      </c>
      <c r="Q38" s="146">
        <v>0</v>
      </c>
      <c r="R38" s="147">
        <v>0</v>
      </c>
      <c r="S38" s="149">
        <f t="shared" si="11"/>
        <v>0</v>
      </c>
      <c r="T38" s="149">
        <f t="shared" si="11"/>
        <v>0</v>
      </c>
      <c r="U38" s="146">
        <v>0</v>
      </c>
      <c r="V38" s="147">
        <v>0</v>
      </c>
      <c r="W38" s="146">
        <v>186.1</v>
      </c>
      <c r="X38" s="147"/>
      <c r="Y38" s="149">
        <f>V38</f>
        <v>0</v>
      </c>
      <c r="Z38" s="149">
        <f>W38</f>
        <v>186.1</v>
      </c>
      <c r="AA38" s="149">
        <f>Z38</f>
        <v>186.1</v>
      </c>
      <c r="AB38" s="149">
        <f>AA38</f>
        <v>186.1</v>
      </c>
      <c r="AC38" s="149">
        <f>AB38</f>
        <v>186.1</v>
      </c>
      <c r="AD38" s="149">
        <f>AC38</f>
        <v>186.1</v>
      </c>
      <c r="AE38" s="146">
        <v>0</v>
      </c>
      <c r="AF38" s="147"/>
      <c r="AG38" s="150">
        <f t="shared" si="77"/>
        <v>0</v>
      </c>
      <c r="AH38" s="150">
        <f t="shared" si="77"/>
        <v>0</v>
      </c>
      <c r="AI38" s="150">
        <f t="shared" si="69"/>
        <v>0</v>
      </c>
      <c r="AJ38" s="148">
        <v>0</v>
      </c>
      <c r="AK38" s="146"/>
      <c r="AL38" s="148"/>
      <c r="AM38" s="146"/>
      <c r="AN38" s="56"/>
      <c r="AO38" s="55"/>
      <c r="AP38" s="150"/>
      <c r="AQ38" s="146"/>
      <c r="AR38" s="147"/>
      <c r="AS38" s="150"/>
      <c r="AT38" s="61">
        <f t="shared" si="16"/>
        <v>0</v>
      </c>
      <c r="AU38" s="146"/>
      <c r="AV38" s="147">
        <v>0</v>
      </c>
      <c r="AW38" s="146"/>
      <c r="AX38" s="147"/>
      <c r="AY38" s="146"/>
      <c r="AZ38" s="147"/>
      <c r="BA38" s="183">
        <f t="shared" si="85"/>
        <v>0</v>
      </c>
      <c r="BB38" s="147"/>
      <c r="BC38" s="151"/>
      <c r="BD38" s="151"/>
      <c r="BE38" s="151"/>
      <c r="BF38" s="151"/>
      <c r="BG38" s="151"/>
      <c r="BH38" s="151"/>
      <c r="BI38" s="151"/>
      <c r="BJ38" s="151"/>
      <c r="BK38" s="151"/>
      <c r="BL38" s="151"/>
      <c r="BM38" s="152"/>
      <c r="BN38" s="152"/>
      <c r="BO38" s="152"/>
      <c r="BP38" s="152"/>
      <c r="BQ38" s="152"/>
      <c r="BR38" s="152"/>
      <c r="BS38" s="152"/>
      <c r="BT38" s="152"/>
      <c r="BU38" s="152"/>
      <c r="BV38" s="152"/>
    </row>
    <row r="39" spans="1:74" x14ac:dyDescent="0.2">
      <c r="A39" s="69"/>
      <c r="B39" s="70"/>
      <c r="C39" s="71"/>
      <c r="D39" s="72"/>
      <c r="E39" s="73"/>
      <c r="F39" s="73"/>
      <c r="G39" s="73"/>
      <c r="H39" s="73"/>
      <c r="I39" s="73"/>
      <c r="J39" s="140"/>
      <c r="K39" s="140"/>
      <c r="L39" s="140"/>
      <c r="M39" s="140"/>
      <c r="N39" s="140"/>
      <c r="O39" s="140"/>
      <c r="P39" s="140"/>
      <c r="Q39" s="72"/>
      <c r="R39" s="73"/>
      <c r="S39" s="140"/>
      <c r="T39" s="140"/>
      <c r="U39" s="72"/>
      <c r="V39" s="73"/>
      <c r="W39" s="72"/>
      <c r="X39" s="73"/>
      <c r="Y39" s="74"/>
      <c r="Z39" s="74"/>
      <c r="AA39" s="74"/>
      <c r="AB39" s="74"/>
      <c r="AC39" s="74"/>
      <c r="AD39" s="74"/>
      <c r="AE39" s="72"/>
      <c r="AF39" s="72"/>
      <c r="AG39" s="75"/>
      <c r="AH39" s="75"/>
      <c r="AI39" s="75"/>
      <c r="AJ39" s="72"/>
      <c r="AK39" s="73"/>
      <c r="AL39" s="72"/>
      <c r="AM39" s="73"/>
      <c r="AN39" s="72"/>
      <c r="AO39" s="73"/>
      <c r="AP39" s="75"/>
      <c r="AQ39" s="72"/>
      <c r="AR39" s="73"/>
      <c r="AS39" s="75"/>
      <c r="AT39" s="75"/>
      <c r="AU39" s="72"/>
      <c r="AV39" s="73"/>
      <c r="AW39" s="72"/>
      <c r="AX39" s="73"/>
      <c r="AY39" s="72"/>
      <c r="AZ39" s="73"/>
      <c r="BA39" s="183">
        <f t="shared" si="85"/>
        <v>0</v>
      </c>
      <c r="BB39" s="73"/>
    </row>
    <row r="40" spans="1:74" x14ac:dyDescent="0.2">
      <c r="A40" s="33"/>
      <c r="B40" s="34" t="s">
        <v>119</v>
      </c>
      <c r="C40" s="35"/>
      <c r="D40" s="36"/>
      <c r="E40" s="37"/>
      <c r="F40" s="37"/>
      <c r="G40" s="37"/>
      <c r="H40" s="37"/>
      <c r="I40" s="37"/>
      <c r="J40" s="37"/>
      <c r="K40" s="37"/>
      <c r="L40" s="37"/>
      <c r="M40" s="37"/>
      <c r="N40" s="37"/>
      <c r="O40" s="37"/>
      <c r="P40" s="37"/>
      <c r="Q40" s="38"/>
      <c r="R40" s="172"/>
      <c r="S40" s="37"/>
      <c r="T40" s="37"/>
      <c r="U40" s="38"/>
      <c r="V40" s="172"/>
      <c r="W40" s="38"/>
      <c r="X40" s="37"/>
      <c r="Y40" s="39"/>
      <c r="Z40" s="39"/>
      <c r="AA40" s="40"/>
      <c r="AB40" s="40"/>
      <c r="AC40" s="40"/>
      <c r="AD40" s="40"/>
      <c r="AE40" s="38"/>
      <c r="AF40" s="37"/>
      <c r="AG40" s="36"/>
      <c r="AH40" s="36"/>
      <c r="AI40" s="41"/>
      <c r="AJ40" s="36"/>
      <c r="AK40" s="36"/>
      <c r="AL40" s="36"/>
      <c r="AM40" s="36"/>
      <c r="AN40" s="36"/>
      <c r="AO40" s="36"/>
      <c r="AP40" s="41"/>
      <c r="AQ40" s="36"/>
      <c r="AR40" s="36"/>
      <c r="AS40" s="41"/>
      <c r="AT40" s="41"/>
      <c r="AU40" s="36"/>
      <c r="AV40" s="36"/>
      <c r="AW40" s="36"/>
      <c r="AX40" s="36"/>
      <c r="AY40" s="36"/>
      <c r="AZ40" s="36"/>
      <c r="BA40" s="37"/>
      <c r="BB40" s="37"/>
    </row>
    <row r="41" spans="1:74" x14ac:dyDescent="0.2">
      <c r="A41" s="76"/>
      <c r="B41" s="77"/>
      <c r="C41" s="78"/>
      <c r="D41" s="47"/>
      <c r="E41" s="79"/>
      <c r="F41" s="79"/>
      <c r="G41" s="79"/>
      <c r="H41" s="79"/>
      <c r="I41" s="79"/>
      <c r="J41" s="65"/>
      <c r="K41" s="65"/>
      <c r="L41" s="65"/>
      <c r="M41" s="65"/>
      <c r="N41" s="65"/>
      <c r="O41" s="65"/>
      <c r="P41" s="65"/>
      <c r="Q41" s="47"/>
      <c r="R41" s="79"/>
      <c r="S41" s="155"/>
      <c r="T41" s="155"/>
      <c r="U41" s="47"/>
      <c r="V41" s="79"/>
      <c r="W41" s="47"/>
      <c r="X41" s="79"/>
      <c r="Y41" s="80"/>
      <c r="Z41" s="80"/>
      <c r="AA41" s="80"/>
      <c r="AB41" s="80"/>
      <c r="AC41" s="80"/>
      <c r="AD41" s="80"/>
      <c r="AE41" s="47"/>
      <c r="AF41" s="47"/>
      <c r="AG41" s="81"/>
      <c r="AH41" s="81"/>
      <c r="AI41" s="81"/>
      <c r="AJ41" s="47"/>
      <c r="AK41" s="79"/>
      <c r="AL41" s="79"/>
      <c r="AM41" s="79"/>
      <c r="AN41" s="47"/>
      <c r="AO41" s="79"/>
      <c r="AP41" s="81"/>
      <c r="AQ41" s="47"/>
      <c r="AR41" s="79"/>
      <c r="AS41" s="81"/>
      <c r="AT41" s="81"/>
      <c r="AU41" s="47"/>
      <c r="AV41" s="79"/>
      <c r="AW41" s="47"/>
      <c r="AX41" s="79"/>
      <c r="AY41" s="47"/>
      <c r="AZ41" s="79"/>
      <c r="BA41" s="47"/>
      <c r="BB41" s="79"/>
    </row>
    <row r="42" spans="1:74" ht="76.5" x14ac:dyDescent="0.2">
      <c r="A42" s="68" t="s">
        <v>121</v>
      </c>
      <c r="B42" s="82" t="s">
        <v>157</v>
      </c>
      <c r="C42" s="64"/>
      <c r="D42" s="56">
        <f t="shared" ref="D42:D74" si="87">ROUND(E42*C42,1)</f>
        <v>0</v>
      </c>
      <c r="E42" s="56">
        <v>0</v>
      </c>
      <c r="F42" s="56">
        <f>ROUND(G42*C42,1)</f>
        <v>0</v>
      </c>
      <c r="G42" s="56">
        <v>0</v>
      </c>
      <c r="H42" s="56">
        <f>ROUND(I42*C42,1)</f>
        <v>0</v>
      </c>
      <c r="I42" s="56">
        <v>0</v>
      </c>
      <c r="J42" s="65">
        <f t="shared" ref="J42:P51" si="88">ROUND($C42*$I42*J$6,1)</f>
        <v>0</v>
      </c>
      <c r="K42" s="65">
        <f t="shared" si="88"/>
        <v>0</v>
      </c>
      <c r="L42" s="65">
        <f t="shared" si="88"/>
        <v>0</v>
      </c>
      <c r="M42" s="65">
        <f t="shared" si="88"/>
        <v>0</v>
      </c>
      <c r="N42" s="65">
        <f t="shared" si="88"/>
        <v>0</v>
      </c>
      <c r="O42" s="65">
        <f t="shared" si="88"/>
        <v>0</v>
      </c>
      <c r="P42" s="65">
        <f t="shared" si="88"/>
        <v>0</v>
      </c>
      <c r="Q42" s="56">
        <f>ROUND(R42*C42,1)</f>
        <v>0</v>
      </c>
      <c r="R42" s="55">
        <v>0</v>
      </c>
      <c r="S42" s="65">
        <f>ROUNDDOWN($Q42*S$6,1)</f>
        <v>0</v>
      </c>
      <c r="T42" s="65">
        <f>ROUNDDOWN($Q42*T$6,1)</f>
        <v>0</v>
      </c>
      <c r="U42" s="56">
        <f>ROUNDDOWN(C42*V42,1)</f>
        <v>0</v>
      </c>
      <c r="V42" s="55">
        <v>0</v>
      </c>
      <c r="W42" s="56">
        <f t="shared" ref="W42:W80" si="89">ROUND(X42*C42,1)</f>
        <v>0</v>
      </c>
      <c r="X42" s="141">
        <f>V42</f>
        <v>0</v>
      </c>
      <c r="Y42" s="65">
        <f t="shared" ref="Y42:AD53" si="90">ROUND($C42*$X42*Y$6,1)</f>
        <v>0</v>
      </c>
      <c r="Z42" s="65">
        <f t="shared" si="90"/>
        <v>0</v>
      </c>
      <c r="AA42" s="65">
        <f t="shared" si="90"/>
        <v>0</v>
      </c>
      <c r="AB42" s="65">
        <f t="shared" si="90"/>
        <v>0</v>
      </c>
      <c r="AC42" s="65">
        <f t="shared" si="90"/>
        <v>0</v>
      </c>
      <c r="AD42" s="65">
        <f t="shared" si="90"/>
        <v>0</v>
      </c>
      <c r="AE42" s="56">
        <v>0</v>
      </c>
      <c r="AF42" s="55">
        <v>0</v>
      </c>
      <c r="AG42" s="61">
        <f t="shared" ref="AG42:AI62" si="91">ROUND($AE42*AG$6,1)</f>
        <v>0</v>
      </c>
      <c r="AH42" s="61">
        <f t="shared" si="91"/>
        <v>0</v>
      </c>
      <c r="AI42" s="61">
        <f t="shared" si="91"/>
        <v>0</v>
      </c>
      <c r="AJ42" s="56">
        <f t="shared" ref="AJ42:AJ73" si="92">ROUNDDOWN(AK42*C42,1)</f>
        <v>0</v>
      </c>
      <c r="AK42" s="141">
        <v>0</v>
      </c>
      <c r="AL42" s="56">
        <f t="shared" ref="AL42:AL73" si="93">ROUND(AM42*C42,1)</f>
        <v>0</v>
      </c>
      <c r="AM42" s="141">
        <v>0</v>
      </c>
      <c r="AN42" s="142">
        <f t="shared" ref="AN42:AN73" si="94">ROUNDDOWN(AO42*C42,1)</f>
        <v>0</v>
      </c>
      <c r="AO42" s="141">
        <v>0</v>
      </c>
      <c r="AP42" s="61">
        <f t="shared" ref="AP42:AP106" si="95">ROUNDDOWN(AN42*$AP$6,1)</f>
        <v>0</v>
      </c>
      <c r="AQ42" s="142">
        <f t="shared" ref="AQ42:AQ73" si="96">ROUNDDOWN(AR42*C42,1)</f>
        <v>0</v>
      </c>
      <c r="AR42" s="141">
        <v>0</v>
      </c>
      <c r="AS42" s="61">
        <f t="shared" ref="AS42:AT58" si="97">ROUNDDOWN($AQ42*AS$6,1)</f>
        <v>0</v>
      </c>
      <c r="AT42" s="61">
        <f t="shared" si="97"/>
        <v>0</v>
      </c>
      <c r="AU42" s="142">
        <f>ROUNDDOWN(AV42*$C42,1)</f>
        <v>0</v>
      </c>
      <c r="AV42" s="141">
        <v>0</v>
      </c>
      <c r="AW42" s="142">
        <f>ROUNDDOWN(AX42*C42,1)</f>
        <v>0</v>
      </c>
      <c r="AX42" s="141"/>
      <c r="AY42" s="142">
        <f>ROUNDDOWN(AZ42*$C42,1)</f>
        <v>0</v>
      </c>
      <c r="AZ42" s="141">
        <v>0</v>
      </c>
      <c r="BA42" s="141">
        <f>ROUNDDOWN(BB42*$C42,1)</f>
        <v>0</v>
      </c>
      <c r="BB42" s="141">
        <v>0</v>
      </c>
    </row>
    <row r="43" spans="1:74" s="153" customFormat="1" ht="76.5" x14ac:dyDescent="0.2">
      <c r="A43" s="143" t="s">
        <v>121</v>
      </c>
      <c r="B43" s="144" t="s">
        <v>157</v>
      </c>
      <c r="C43" s="145"/>
      <c r="D43" s="146">
        <f t="shared" ref="D43" si="98">ROUND(E43*C43,1)</f>
        <v>0</v>
      </c>
      <c r="E43" s="146">
        <v>0</v>
      </c>
      <c r="F43" s="56">
        <f t="shared" ref="F43:F106" si="99">ROUND(G43*C43,1)</f>
        <v>0</v>
      </c>
      <c r="G43" s="146">
        <v>0</v>
      </c>
      <c r="H43" s="146">
        <f>ROUND(I43*C43,1)</f>
        <v>0</v>
      </c>
      <c r="I43" s="146">
        <v>0</v>
      </c>
      <c r="J43" s="149">
        <f t="shared" si="88"/>
        <v>0</v>
      </c>
      <c r="K43" s="149">
        <f t="shared" si="88"/>
        <v>0</v>
      </c>
      <c r="L43" s="149">
        <f t="shared" si="88"/>
        <v>0</v>
      </c>
      <c r="M43" s="149">
        <f t="shared" si="88"/>
        <v>0</v>
      </c>
      <c r="N43" s="149">
        <f t="shared" si="88"/>
        <v>0</v>
      </c>
      <c r="O43" s="149">
        <f t="shared" si="88"/>
        <v>0</v>
      </c>
      <c r="P43" s="149">
        <f t="shared" si="88"/>
        <v>0</v>
      </c>
      <c r="Q43" s="146">
        <f>ROUND(R43*C43,1)</f>
        <v>0</v>
      </c>
      <c r="R43" s="147">
        <v>0</v>
      </c>
      <c r="S43" s="149">
        <f>ROUNDDOWN($Q43*S$6,1)</f>
        <v>0</v>
      </c>
      <c r="T43" s="149">
        <f>ROUNDDOWN($Q43*T$6,1)</f>
        <v>0</v>
      </c>
      <c r="U43" s="146">
        <f>ROUNDDOWN(C43*V43,1)</f>
        <v>0</v>
      </c>
      <c r="V43" s="147">
        <v>0</v>
      </c>
      <c r="W43" s="146">
        <f t="shared" ref="W43" si="100">ROUND(X43*C43,1)</f>
        <v>0</v>
      </c>
      <c r="X43" s="154">
        <f>V43</f>
        <v>0</v>
      </c>
      <c r="Y43" s="149">
        <f t="shared" si="90"/>
        <v>0</v>
      </c>
      <c r="Z43" s="149">
        <f t="shared" si="90"/>
        <v>0</v>
      </c>
      <c r="AA43" s="149">
        <f t="shared" si="90"/>
        <v>0</v>
      </c>
      <c r="AB43" s="149">
        <f t="shared" si="90"/>
        <v>0</v>
      </c>
      <c r="AC43" s="149">
        <f t="shared" si="90"/>
        <v>0</v>
      </c>
      <c r="AD43" s="149">
        <f t="shared" si="90"/>
        <v>0</v>
      </c>
      <c r="AE43" s="146">
        <v>0</v>
      </c>
      <c r="AF43" s="147">
        <v>0</v>
      </c>
      <c r="AG43" s="150">
        <f t="shared" si="91"/>
        <v>0</v>
      </c>
      <c r="AH43" s="150">
        <f t="shared" si="91"/>
        <v>0</v>
      </c>
      <c r="AI43" s="150">
        <f t="shared" si="91"/>
        <v>0</v>
      </c>
      <c r="AJ43" s="146">
        <f t="shared" si="92"/>
        <v>0</v>
      </c>
      <c r="AK43" s="154">
        <v>0</v>
      </c>
      <c r="AL43" s="146">
        <f t="shared" si="93"/>
        <v>0</v>
      </c>
      <c r="AM43" s="154">
        <v>0</v>
      </c>
      <c r="AN43" s="148">
        <f t="shared" si="94"/>
        <v>0</v>
      </c>
      <c r="AO43" s="154">
        <v>0</v>
      </c>
      <c r="AP43" s="150">
        <f t="shared" ref="AP43" si="101">ROUNDDOWN(AN43*$AP$6,1)</f>
        <v>0</v>
      </c>
      <c r="AQ43" s="148">
        <f t="shared" si="96"/>
        <v>0</v>
      </c>
      <c r="AR43" s="154">
        <v>0</v>
      </c>
      <c r="AS43" s="150">
        <f t="shared" si="97"/>
        <v>0</v>
      </c>
      <c r="AT43" s="150">
        <f t="shared" si="97"/>
        <v>0</v>
      </c>
      <c r="AU43" s="148">
        <f>ROUNDDOWN(AV43*$C43,1)</f>
        <v>0</v>
      </c>
      <c r="AV43" s="154">
        <v>0</v>
      </c>
      <c r="AW43" s="142">
        <f t="shared" ref="AW43:AW106" si="102">ROUNDDOWN(AX43*C43,1)</f>
        <v>0</v>
      </c>
      <c r="AX43" s="154"/>
      <c r="AY43" s="148">
        <f>ROUNDDOWN(AZ43*$C43,1)</f>
        <v>0</v>
      </c>
      <c r="AZ43" s="154">
        <v>0</v>
      </c>
      <c r="BA43" s="154">
        <f>ROUNDDOWN(BB43*$C43,1)</f>
        <v>0</v>
      </c>
      <c r="BB43" s="154">
        <v>0</v>
      </c>
      <c r="BC43" s="151"/>
      <c r="BD43" s="151"/>
      <c r="BE43" s="151"/>
      <c r="BF43" s="151"/>
      <c r="BG43" s="151"/>
      <c r="BH43" s="151"/>
      <c r="BI43" s="151"/>
      <c r="BJ43" s="151"/>
      <c r="BK43" s="151"/>
      <c r="BL43" s="151"/>
      <c r="BM43" s="152"/>
      <c r="BN43" s="152"/>
      <c r="BO43" s="152"/>
      <c r="BP43" s="152"/>
      <c r="BQ43" s="152"/>
      <c r="BR43" s="152"/>
      <c r="BS43" s="152"/>
      <c r="BT43" s="152"/>
      <c r="BU43" s="152"/>
      <c r="BV43" s="152"/>
    </row>
    <row r="44" spans="1:74" s="86" customFormat="1" ht="14.25" customHeight="1" x14ac:dyDescent="0.2">
      <c r="A44" s="83" t="s">
        <v>90</v>
      </c>
      <c r="B44" s="63" t="s">
        <v>30</v>
      </c>
      <c r="C44" s="64"/>
      <c r="D44" s="56">
        <f t="shared" si="87"/>
        <v>0</v>
      </c>
      <c r="E44" s="56">
        <v>0</v>
      </c>
      <c r="F44" s="56">
        <f t="shared" si="99"/>
        <v>0</v>
      </c>
      <c r="G44" s="56">
        <v>0</v>
      </c>
      <c r="H44" s="56">
        <f t="shared" ref="H44:H78" si="103">ROUND(I44*C44,1)</f>
        <v>0</v>
      </c>
      <c r="I44" s="56">
        <v>0</v>
      </c>
      <c r="J44" s="65">
        <f t="shared" si="88"/>
        <v>0</v>
      </c>
      <c r="K44" s="65">
        <f t="shared" si="88"/>
        <v>0</v>
      </c>
      <c r="L44" s="65">
        <f t="shared" si="88"/>
        <v>0</v>
      </c>
      <c r="M44" s="65">
        <f t="shared" si="88"/>
        <v>0</v>
      </c>
      <c r="N44" s="65">
        <f t="shared" si="88"/>
        <v>0</v>
      </c>
      <c r="O44" s="65">
        <f t="shared" si="88"/>
        <v>0</v>
      </c>
      <c r="P44" s="65">
        <f t="shared" si="88"/>
        <v>0</v>
      </c>
      <c r="Q44" s="56">
        <f t="shared" ref="Q44:Q107" si="104">ROUND(R44*C44,1)</f>
        <v>0</v>
      </c>
      <c r="R44" s="55">
        <v>0</v>
      </c>
      <c r="S44" s="65">
        <f t="shared" ref="S44:T59" si="105">ROUNDDOWN($Q44*S$6,1)</f>
        <v>0</v>
      </c>
      <c r="T44" s="65">
        <f t="shared" si="105"/>
        <v>0</v>
      </c>
      <c r="U44" s="56">
        <f t="shared" ref="U44:U78" si="106">ROUNDDOWN(C44*V44,1)</f>
        <v>0</v>
      </c>
      <c r="V44" s="55">
        <v>0</v>
      </c>
      <c r="W44" s="56">
        <f t="shared" si="89"/>
        <v>0</v>
      </c>
      <c r="X44" s="141">
        <f t="shared" ref="X44:X107" si="107">V44</f>
        <v>0</v>
      </c>
      <c r="Y44" s="65">
        <f t="shared" si="90"/>
        <v>0</v>
      </c>
      <c r="Z44" s="65">
        <f t="shared" si="90"/>
        <v>0</v>
      </c>
      <c r="AA44" s="65">
        <f t="shared" si="90"/>
        <v>0</v>
      </c>
      <c r="AB44" s="65">
        <f t="shared" si="90"/>
        <v>0</v>
      </c>
      <c r="AC44" s="65">
        <f t="shared" si="90"/>
        <v>0</v>
      </c>
      <c r="AD44" s="65">
        <f t="shared" si="90"/>
        <v>0</v>
      </c>
      <c r="AE44" s="56">
        <v>0</v>
      </c>
      <c r="AF44" s="55">
        <v>0</v>
      </c>
      <c r="AG44" s="61">
        <f t="shared" si="91"/>
        <v>0</v>
      </c>
      <c r="AH44" s="61">
        <f t="shared" si="91"/>
        <v>0</v>
      </c>
      <c r="AI44" s="61">
        <f t="shared" si="91"/>
        <v>0</v>
      </c>
      <c r="AJ44" s="56">
        <f t="shared" si="92"/>
        <v>0</v>
      </c>
      <c r="AK44" s="141">
        <v>0</v>
      </c>
      <c r="AL44" s="56">
        <f t="shared" si="93"/>
        <v>0</v>
      </c>
      <c r="AM44" s="141">
        <v>0</v>
      </c>
      <c r="AN44" s="142">
        <f t="shared" si="94"/>
        <v>0</v>
      </c>
      <c r="AO44" s="141">
        <v>0</v>
      </c>
      <c r="AP44" s="61">
        <f t="shared" si="95"/>
        <v>0</v>
      </c>
      <c r="AQ44" s="142">
        <f t="shared" si="96"/>
        <v>0</v>
      </c>
      <c r="AR44" s="141">
        <v>0</v>
      </c>
      <c r="AS44" s="61">
        <f t="shared" si="97"/>
        <v>0</v>
      </c>
      <c r="AT44" s="61">
        <f t="shared" si="97"/>
        <v>0</v>
      </c>
      <c r="AU44" s="142">
        <f t="shared" ref="AU44:AY107" si="108">ROUNDDOWN(AV44*$C44,1)</f>
        <v>0</v>
      </c>
      <c r="AV44" s="141">
        <v>0</v>
      </c>
      <c r="AW44" s="142">
        <f t="shared" si="102"/>
        <v>0</v>
      </c>
      <c r="AX44" s="141"/>
      <c r="AY44" s="142">
        <f t="shared" si="108"/>
        <v>0</v>
      </c>
      <c r="AZ44" s="141">
        <v>0</v>
      </c>
      <c r="BA44" s="141">
        <f t="shared" ref="BA44" si="109">ROUNDDOWN(BB44*$C44,1)</f>
        <v>0</v>
      </c>
      <c r="BB44" s="141">
        <v>0</v>
      </c>
      <c r="BC44" s="84"/>
      <c r="BD44" s="84"/>
      <c r="BE44" s="84"/>
      <c r="BF44" s="84"/>
      <c r="BG44" s="84"/>
      <c r="BH44" s="84"/>
      <c r="BI44" s="84"/>
      <c r="BJ44" s="84"/>
      <c r="BK44" s="84"/>
      <c r="BL44" s="84"/>
      <c r="BM44" s="85"/>
      <c r="BN44" s="85"/>
      <c r="BO44" s="85"/>
      <c r="BP44" s="85"/>
      <c r="BQ44" s="85"/>
      <c r="BR44" s="85"/>
      <c r="BS44" s="85"/>
      <c r="BT44" s="85"/>
      <c r="BU44" s="85"/>
      <c r="BV44" s="85"/>
    </row>
    <row r="45" spans="1:74" s="86" customFormat="1" x14ac:dyDescent="0.2">
      <c r="A45" s="83" t="s">
        <v>91</v>
      </c>
      <c r="B45" s="63" t="s">
        <v>31</v>
      </c>
      <c r="C45" s="64">
        <v>10</v>
      </c>
      <c r="D45" s="56">
        <f t="shared" si="87"/>
        <v>681.4</v>
      </c>
      <c r="E45" s="141">
        <f>RCFs!$C$43</f>
        <v>68.141894999999991</v>
      </c>
      <c r="F45" s="56">
        <f t="shared" si="99"/>
        <v>175.8</v>
      </c>
      <c r="G45" s="141">
        <f>RCFs!$C$5</f>
        <v>17.577000000000002</v>
      </c>
      <c r="H45" s="56">
        <f t="shared" si="103"/>
        <v>175.8</v>
      </c>
      <c r="I45" s="141">
        <f>RCFs!$C$5</f>
        <v>17.577000000000002</v>
      </c>
      <c r="J45" s="65">
        <f t="shared" si="88"/>
        <v>193.3</v>
      </c>
      <c r="K45" s="65">
        <f t="shared" si="88"/>
        <v>240.8</v>
      </c>
      <c r="L45" s="65">
        <f t="shared" si="88"/>
        <v>258.39999999999998</v>
      </c>
      <c r="M45" s="65">
        <f t="shared" si="88"/>
        <v>284.7</v>
      </c>
      <c r="N45" s="65">
        <f t="shared" si="88"/>
        <v>351.5</v>
      </c>
      <c r="O45" s="65">
        <f t="shared" si="88"/>
        <v>377.9</v>
      </c>
      <c r="P45" s="65">
        <f t="shared" si="88"/>
        <v>527.29999999999995</v>
      </c>
      <c r="Q45" s="56">
        <f t="shared" si="104"/>
        <v>176.6</v>
      </c>
      <c r="R45" s="55">
        <f>RCFs!$C$7</f>
        <v>17.66</v>
      </c>
      <c r="S45" s="65">
        <f t="shared" si="105"/>
        <v>229.5</v>
      </c>
      <c r="T45" s="65">
        <f t="shared" si="105"/>
        <v>264.89999999999998</v>
      </c>
      <c r="U45" s="56">
        <f t="shared" si="106"/>
        <v>170.3</v>
      </c>
      <c r="V45" s="55">
        <f>RCFs!$C$9</f>
        <v>17.033999999999999</v>
      </c>
      <c r="W45" s="56">
        <f t="shared" si="89"/>
        <v>170.3</v>
      </c>
      <c r="X45" s="141">
        <f t="shared" si="107"/>
        <v>17.033999999999999</v>
      </c>
      <c r="Y45" s="65">
        <f t="shared" si="90"/>
        <v>187.4</v>
      </c>
      <c r="Z45" s="65">
        <f t="shared" si="90"/>
        <v>233.4</v>
      </c>
      <c r="AA45" s="65">
        <f t="shared" si="90"/>
        <v>276</v>
      </c>
      <c r="AB45" s="65">
        <f t="shared" si="90"/>
        <v>250.4</v>
      </c>
      <c r="AC45" s="65">
        <f t="shared" si="90"/>
        <v>369.6</v>
      </c>
      <c r="AD45" s="65">
        <f t="shared" si="90"/>
        <v>511</v>
      </c>
      <c r="AE45" s="56">
        <f t="shared" ref="AE45:AE76" si="110">ROUND(AF45*C45,1)</f>
        <v>164.8</v>
      </c>
      <c r="AF45" s="55">
        <f>RCFs!$C$13</f>
        <v>16.48</v>
      </c>
      <c r="AG45" s="61">
        <f t="shared" si="91"/>
        <v>271.89999999999998</v>
      </c>
      <c r="AH45" s="61">
        <f t="shared" si="91"/>
        <v>346.1</v>
      </c>
      <c r="AI45" s="61">
        <f t="shared" si="91"/>
        <v>494.4</v>
      </c>
      <c r="AJ45" s="56">
        <f t="shared" si="92"/>
        <v>168.7</v>
      </c>
      <c r="AK45" s="141">
        <f>RCFs!$C$23</f>
        <v>16.876666666666669</v>
      </c>
      <c r="AL45" s="56">
        <f t="shared" si="93"/>
        <v>232.6</v>
      </c>
      <c r="AM45" s="141">
        <f>RCFs!$C$27</f>
        <v>23.256666666666668</v>
      </c>
      <c r="AN45" s="142">
        <f t="shared" si="94"/>
        <v>185.1</v>
      </c>
      <c r="AO45" s="141">
        <f>RCFs!$C$33</f>
        <v>18.513999999999999</v>
      </c>
      <c r="AP45" s="61">
        <f t="shared" si="95"/>
        <v>277.60000000000002</v>
      </c>
      <c r="AQ45" s="142">
        <f t="shared" si="96"/>
        <v>173</v>
      </c>
      <c r="AR45" s="141">
        <f>RCFs!$C$35</f>
        <v>17.306666666666668</v>
      </c>
      <c r="AS45" s="61">
        <f t="shared" si="97"/>
        <v>224.9</v>
      </c>
      <c r="AT45" s="61">
        <f t="shared" si="97"/>
        <v>250.8</v>
      </c>
      <c r="AU45" s="142">
        <f t="shared" si="108"/>
        <v>178.6</v>
      </c>
      <c r="AV45" s="141">
        <f>RCFs!$C$37</f>
        <v>17.86</v>
      </c>
      <c r="AW45" s="142">
        <f t="shared" si="102"/>
        <v>180.7</v>
      </c>
      <c r="AX45" s="141">
        <f>RCFs!$C$64</f>
        <v>18.07</v>
      </c>
      <c r="AY45" s="142">
        <f t="shared" si="108"/>
        <v>183.2</v>
      </c>
      <c r="AZ45" s="141">
        <f>RCFs!$C$39</f>
        <v>18.323333333333334</v>
      </c>
      <c r="BA45" s="141">
        <f t="shared" ref="BA45" si="111">ROUNDDOWN(BB45*$C45,1)</f>
        <v>175.7</v>
      </c>
      <c r="BB45" s="141">
        <f>RCFs!$C$41</f>
        <v>17.579000000000001</v>
      </c>
      <c r="BC45" s="84"/>
      <c r="BD45" s="84"/>
      <c r="BE45" s="84"/>
      <c r="BF45" s="84"/>
      <c r="BG45" s="84"/>
      <c r="BH45" s="84"/>
      <c r="BI45" s="84"/>
      <c r="BJ45" s="84"/>
      <c r="BK45" s="84"/>
      <c r="BL45" s="84"/>
      <c r="BM45" s="85"/>
      <c r="BN45" s="85"/>
      <c r="BO45" s="85"/>
      <c r="BP45" s="85"/>
      <c r="BQ45" s="85"/>
      <c r="BR45" s="85"/>
      <c r="BS45" s="85"/>
      <c r="BT45" s="85"/>
      <c r="BU45" s="85"/>
      <c r="BV45" s="85"/>
    </row>
    <row r="46" spans="1:74" s="86" customFormat="1" x14ac:dyDescent="0.2">
      <c r="A46" s="83" t="s">
        <v>92</v>
      </c>
      <c r="B46" s="63" t="s">
        <v>32</v>
      </c>
      <c r="C46" s="64">
        <v>12</v>
      </c>
      <c r="D46" s="56">
        <f>ROUND(E46*C46,1)</f>
        <v>817.7</v>
      </c>
      <c r="E46" s="141">
        <f>RCFs!$C$43</f>
        <v>68.141894999999991</v>
      </c>
      <c r="F46" s="56">
        <f t="shared" si="99"/>
        <v>210.9</v>
      </c>
      <c r="G46" s="141">
        <f>RCFs!$C$5</f>
        <v>17.577000000000002</v>
      </c>
      <c r="H46" s="56">
        <f t="shared" si="103"/>
        <v>210.9</v>
      </c>
      <c r="I46" s="141">
        <f>RCFs!$C$5</f>
        <v>17.577000000000002</v>
      </c>
      <c r="J46" s="65">
        <f t="shared" si="88"/>
        <v>232</v>
      </c>
      <c r="K46" s="65">
        <f t="shared" si="88"/>
        <v>289</v>
      </c>
      <c r="L46" s="65">
        <f t="shared" si="88"/>
        <v>310.10000000000002</v>
      </c>
      <c r="M46" s="65">
        <f t="shared" si="88"/>
        <v>341.7</v>
      </c>
      <c r="N46" s="65">
        <f t="shared" si="88"/>
        <v>421.8</v>
      </c>
      <c r="O46" s="65">
        <f t="shared" si="88"/>
        <v>453.5</v>
      </c>
      <c r="P46" s="65">
        <f t="shared" si="88"/>
        <v>632.79999999999995</v>
      </c>
      <c r="Q46" s="56">
        <f t="shared" si="104"/>
        <v>211.9</v>
      </c>
      <c r="R46" s="55">
        <f>RCFs!$C$7</f>
        <v>17.66</v>
      </c>
      <c r="S46" s="65">
        <f t="shared" si="105"/>
        <v>275.39999999999998</v>
      </c>
      <c r="T46" s="65">
        <f t="shared" si="105"/>
        <v>317.8</v>
      </c>
      <c r="U46" s="56">
        <f t="shared" si="106"/>
        <v>204.4</v>
      </c>
      <c r="V46" s="55">
        <f>RCFs!$C$9</f>
        <v>17.033999999999999</v>
      </c>
      <c r="W46" s="56">
        <f t="shared" si="89"/>
        <v>204.4</v>
      </c>
      <c r="X46" s="141">
        <f t="shared" si="107"/>
        <v>17.033999999999999</v>
      </c>
      <c r="Y46" s="65">
        <f t="shared" si="90"/>
        <v>224.8</v>
      </c>
      <c r="Z46" s="65">
        <f t="shared" si="90"/>
        <v>280</v>
      </c>
      <c r="AA46" s="65">
        <f t="shared" si="90"/>
        <v>331.1</v>
      </c>
      <c r="AB46" s="65">
        <f t="shared" si="90"/>
        <v>300.5</v>
      </c>
      <c r="AC46" s="65">
        <f t="shared" si="90"/>
        <v>443.6</v>
      </c>
      <c r="AD46" s="65">
        <f t="shared" si="90"/>
        <v>613.20000000000005</v>
      </c>
      <c r="AE46" s="56">
        <f t="shared" si="110"/>
        <v>197.8</v>
      </c>
      <c r="AF46" s="55">
        <f>RCFs!$C$13</f>
        <v>16.48</v>
      </c>
      <c r="AG46" s="61">
        <f t="shared" si="91"/>
        <v>326.39999999999998</v>
      </c>
      <c r="AH46" s="61">
        <f t="shared" si="91"/>
        <v>415.4</v>
      </c>
      <c r="AI46" s="61">
        <f t="shared" si="91"/>
        <v>593.4</v>
      </c>
      <c r="AJ46" s="56">
        <f t="shared" si="92"/>
        <v>202.5</v>
      </c>
      <c r="AK46" s="141">
        <f>RCFs!$C$23</f>
        <v>16.876666666666669</v>
      </c>
      <c r="AL46" s="56">
        <f t="shared" si="93"/>
        <v>279.10000000000002</v>
      </c>
      <c r="AM46" s="141">
        <f>RCFs!$C$27</f>
        <v>23.256666666666668</v>
      </c>
      <c r="AN46" s="142">
        <f t="shared" si="94"/>
        <v>222.1</v>
      </c>
      <c r="AO46" s="141">
        <f>RCFs!$C$33</f>
        <v>18.513999999999999</v>
      </c>
      <c r="AP46" s="61">
        <f t="shared" si="95"/>
        <v>333.1</v>
      </c>
      <c r="AQ46" s="142">
        <f t="shared" si="96"/>
        <v>207.6</v>
      </c>
      <c r="AR46" s="141">
        <f>RCFs!$C$35</f>
        <v>17.306666666666668</v>
      </c>
      <c r="AS46" s="61">
        <f t="shared" si="97"/>
        <v>269.8</v>
      </c>
      <c r="AT46" s="61">
        <f t="shared" si="97"/>
        <v>301</v>
      </c>
      <c r="AU46" s="142">
        <f t="shared" si="108"/>
        <v>214.3</v>
      </c>
      <c r="AV46" s="141">
        <f>RCFs!$C$37</f>
        <v>17.86</v>
      </c>
      <c r="AW46" s="142">
        <f t="shared" si="102"/>
        <v>216.8</v>
      </c>
      <c r="AX46" s="141">
        <f>RCFs!$C$64</f>
        <v>18.07</v>
      </c>
      <c r="AY46" s="142">
        <f t="shared" si="108"/>
        <v>219.8</v>
      </c>
      <c r="AZ46" s="141">
        <f>RCFs!$C$39</f>
        <v>18.323333333333334</v>
      </c>
      <c r="BA46" s="141">
        <f t="shared" ref="BA46" si="112">ROUNDDOWN(BB46*$C46,1)</f>
        <v>210.9</v>
      </c>
      <c r="BB46" s="141">
        <f>RCFs!$C$41</f>
        <v>17.579000000000001</v>
      </c>
      <c r="BC46" s="84"/>
      <c r="BD46" s="84"/>
      <c r="BE46" s="84"/>
      <c r="BF46" s="84"/>
      <c r="BG46" s="84"/>
      <c r="BH46" s="84"/>
      <c r="BI46" s="84"/>
      <c r="BJ46" s="84"/>
      <c r="BK46" s="84"/>
      <c r="BL46" s="84"/>
      <c r="BM46" s="85"/>
      <c r="BN46" s="85"/>
      <c r="BO46" s="85"/>
      <c r="BP46" s="85"/>
      <c r="BQ46" s="85"/>
      <c r="BR46" s="85"/>
      <c r="BS46" s="85"/>
      <c r="BT46" s="85"/>
      <c r="BU46" s="85"/>
      <c r="BV46" s="85"/>
    </row>
    <row r="47" spans="1:74" s="86" customFormat="1" x14ac:dyDescent="0.2">
      <c r="A47" s="83" t="s">
        <v>93</v>
      </c>
      <c r="B47" s="63" t="s">
        <v>33</v>
      </c>
      <c r="C47" s="64">
        <v>6</v>
      </c>
      <c r="D47" s="56">
        <f>ROUND(E47*C47,1)</f>
        <v>408.9</v>
      </c>
      <c r="E47" s="141">
        <f>RCFs!$C$43</f>
        <v>68.141894999999991</v>
      </c>
      <c r="F47" s="56">
        <f t="shared" si="99"/>
        <v>105.5</v>
      </c>
      <c r="G47" s="141">
        <f>RCFs!$C$5</f>
        <v>17.577000000000002</v>
      </c>
      <c r="H47" s="56">
        <f t="shared" si="103"/>
        <v>105.5</v>
      </c>
      <c r="I47" s="141">
        <f>RCFs!$C$5</f>
        <v>17.577000000000002</v>
      </c>
      <c r="J47" s="65">
        <f t="shared" si="88"/>
        <v>116</v>
      </c>
      <c r="K47" s="65">
        <f t="shared" si="88"/>
        <v>144.5</v>
      </c>
      <c r="L47" s="65">
        <f t="shared" si="88"/>
        <v>155</v>
      </c>
      <c r="M47" s="65">
        <f t="shared" si="88"/>
        <v>170.8</v>
      </c>
      <c r="N47" s="65">
        <f t="shared" si="88"/>
        <v>210.9</v>
      </c>
      <c r="O47" s="65">
        <f t="shared" si="88"/>
        <v>226.7</v>
      </c>
      <c r="P47" s="65">
        <f t="shared" si="88"/>
        <v>316.39999999999998</v>
      </c>
      <c r="Q47" s="56">
        <f t="shared" si="104"/>
        <v>106</v>
      </c>
      <c r="R47" s="55">
        <f>RCFs!$C$7</f>
        <v>17.66</v>
      </c>
      <c r="S47" s="65">
        <f t="shared" si="105"/>
        <v>137.80000000000001</v>
      </c>
      <c r="T47" s="65">
        <f t="shared" si="105"/>
        <v>159</v>
      </c>
      <c r="U47" s="56">
        <f t="shared" si="106"/>
        <v>102.2</v>
      </c>
      <c r="V47" s="55">
        <f>RCFs!$C$9</f>
        <v>17.033999999999999</v>
      </c>
      <c r="W47" s="56">
        <f t="shared" si="89"/>
        <v>102.2</v>
      </c>
      <c r="X47" s="141">
        <f t="shared" si="107"/>
        <v>17.033999999999999</v>
      </c>
      <c r="Y47" s="65">
        <f t="shared" si="90"/>
        <v>112.4</v>
      </c>
      <c r="Z47" s="65">
        <f t="shared" si="90"/>
        <v>140</v>
      </c>
      <c r="AA47" s="65">
        <f t="shared" si="90"/>
        <v>165.6</v>
      </c>
      <c r="AB47" s="65">
        <f t="shared" si="90"/>
        <v>150.19999999999999</v>
      </c>
      <c r="AC47" s="65">
        <f t="shared" si="90"/>
        <v>221.8</v>
      </c>
      <c r="AD47" s="65">
        <f t="shared" si="90"/>
        <v>306.60000000000002</v>
      </c>
      <c r="AE47" s="56">
        <f t="shared" si="110"/>
        <v>98.9</v>
      </c>
      <c r="AF47" s="55">
        <f>RCFs!$C$13</f>
        <v>16.48</v>
      </c>
      <c r="AG47" s="61">
        <f t="shared" si="91"/>
        <v>163.19999999999999</v>
      </c>
      <c r="AH47" s="61">
        <f t="shared" si="91"/>
        <v>207.7</v>
      </c>
      <c r="AI47" s="61">
        <f t="shared" si="91"/>
        <v>296.7</v>
      </c>
      <c r="AJ47" s="56">
        <f t="shared" si="92"/>
        <v>101.2</v>
      </c>
      <c r="AK47" s="141">
        <f>RCFs!$C$23</f>
        <v>16.876666666666669</v>
      </c>
      <c r="AL47" s="56">
        <f t="shared" si="93"/>
        <v>139.5</v>
      </c>
      <c r="AM47" s="141">
        <f>RCFs!$C$27</f>
        <v>23.256666666666668</v>
      </c>
      <c r="AN47" s="142">
        <f t="shared" si="94"/>
        <v>111</v>
      </c>
      <c r="AO47" s="141">
        <f>RCFs!$C$33</f>
        <v>18.513999999999999</v>
      </c>
      <c r="AP47" s="61">
        <f t="shared" si="95"/>
        <v>166.5</v>
      </c>
      <c r="AQ47" s="142">
        <f t="shared" si="96"/>
        <v>103.8</v>
      </c>
      <c r="AR47" s="141">
        <f>RCFs!$C$35</f>
        <v>17.306666666666668</v>
      </c>
      <c r="AS47" s="61">
        <f t="shared" si="97"/>
        <v>134.9</v>
      </c>
      <c r="AT47" s="61">
        <f t="shared" si="97"/>
        <v>150.5</v>
      </c>
      <c r="AU47" s="142">
        <f t="shared" si="108"/>
        <v>107.1</v>
      </c>
      <c r="AV47" s="141">
        <f>RCFs!$C$37</f>
        <v>17.86</v>
      </c>
      <c r="AW47" s="142">
        <f t="shared" si="102"/>
        <v>108.4</v>
      </c>
      <c r="AX47" s="141">
        <f>RCFs!$C$64</f>
        <v>18.07</v>
      </c>
      <c r="AY47" s="142">
        <f t="shared" si="108"/>
        <v>109.9</v>
      </c>
      <c r="AZ47" s="141">
        <f>RCFs!$C$39</f>
        <v>18.323333333333334</v>
      </c>
      <c r="BA47" s="141">
        <f t="shared" ref="BA47" si="113">ROUNDDOWN(BB47*$C47,1)</f>
        <v>105.4</v>
      </c>
      <c r="BB47" s="141">
        <f>RCFs!$C$41</f>
        <v>17.579000000000001</v>
      </c>
      <c r="BC47" s="84"/>
      <c r="BD47" s="84"/>
      <c r="BE47" s="84"/>
      <c r="BF47" s="84"/>
      <c r="BG47" s="84"/>
      <c r="BH47" s="84"/>
      <c r="BI47" s="84"/>
      <c r="BJ47" s="84"/>
      <c r="BK47" s="84"/>
      <c r="BL47" s="84"/>
      <c r="BM47" s="85"/>
      <c r="BN47" s="85"/>
      <c r="BO47" s="85"/>
      <c r="BP47" s="85"/>
      <c r="BQ47" s="85"/>
      <c r="BR47" s="85"/>
      <c r="BS47" s="85"/>
      <c r="BT47" s="85"/>
      <c r="BU47" s="85"/>
      <c r="BV47" s="85"/>
    </row>
    <row r="48" spans="1:74" s="86" customFormat="1" x14ac:dyDescent="0.2">
      <c r="A48" s="83" t="s">
        <v>94</v>
      </c>
      <c r="B48" s="63" t="s">
        <v>34</v>
      </c>
      <c r="C48" s="64">
        <v>8</v>
      </c>
      <c r="D48" s="56">
        <f>ROUND(E48*C48,1)</f>
        <v>545.1</v>
      </c>
      <c r="E48" s="141">
        <f>RCFs!$C$43</f>
        <v>68.141894999999991</v>
      </c>
      <c r="F48" s="56">
        <f t="shared" si="99"/>
        <v>140.6</v>
      </c>
      <c r="G48" s="141">
        <f>RCFs!$C$5</f>
        <v>17.577000000000002</v>
      </c>
      <c r="H48" s="56">
        <f t="shared" si="103"/>
        <v>140.6</v>
      </c>
      <c r="I48" s="141">
        <f>RCFs!$C$5</f>
        <v>17.577000000000002</v>
      </c>
      <c r="J48" s="65">
        <f t="shared" si="88"/>
        <v>154.69999999999999</v>
      </c>
      <c r="K48" s="65">
        <f t="shared" si="88"/>
        <v>192.6</v>
      </c>
      <c r="L48" s="65">
        <f t="shared" si="88"/>
        <v>206.7</v>
      </c>
      <c r="M48" s="65">
        <f t="shared" si="88"/>
        <v>227.8</v>
      </c>
      <c r="N48" s="65">
        <f t="shared" si="88"/>
        <v>281.2</v>
      </c>
      <c r="O48" s="65">
        <f t="shared" si="88"/>
        <v>302.3</v>
      </c>
      <c r="P48" s="65">
        <f t="shared" si="88"/>
        <v>421.8</v>
      </c>
      <c r="Q48" s="56">
        <f t="shared" si="104"/>
        <v>141.30000000000001</v>
      </c>
      <c r="R48" s="55">
        <f>RCFs!$C$7</f>
        <v>17.66</v>
      </c>
      <c r="S48" s="65">
        <f t="shared" si="105"/>
        <v>183.6</v>
      </c>
      <c r="T48" s="65">
        <f t="shared" si="105"/>
        <v>211.9</v>
      </c>
      <c r="U48" s="56">
        <f t="shared" si="106"/>
        <v>136.19999999999999</v>
      </c>
      <c r="V48" s="55">
        <f>RCFs!$C$9</f>
        <v>17.033999999999999</v>
      </c>
      <c r="W48" s="56">
        <f t="shared" si="89"/>
        <v>136.30000000000001</v>
      </c>
      <c r="X48" s="141">
        <f t="shared" si="107"/>
        <v>17.033999999999999</v>
      </c>
      <c r="Y48" s="65">
        <f t="shared" si="90"/>
        <v>149.9</v>
      </c>
      <c r="Z48" s="65">
        <f t="shared" si="90"/>
        <v>186.7</v>
      </c>
      <c r="AA48" s="65">
        <f t="shared" si="90"/>
        <v>220.8</v>
      </c>
      <c r="AB48" s="65">
        <f t="shared" si="90"/>
        <v>200.3</v>
      </c>
      <c r="AC48" s="65">
        <f t="shared" si="90"/>
        <v>295.7</v>
      </c>
      <c r="AD48" s="65">
        <f t="shared" si="90"/>
        <v>408.8</v>
      </c>
      <c r="AE48" s="56">
        <f t="shared" si="110"/>
        <v>131.80000000000001</v>
      </c>
      <c r="AF48" s="55">
        <f>RCFs!$C$13</f>
        <v>16.48</v>
      </c>
      <c r="AG48" s="61">
        <f t="shared" si="91"/>
        <v>217.5</v>
      </c>
      <c r="AH48" s="61">
        <f t="shared" si="91"/>
        <v>276.8</v>
      </c>
      <c r="AI48" s="61">
        <f t="shared" si="91"/>
        <v>395.4</v>
      </c>
      <c r="AJ48" s="56">
        <f t="shared" si="92"/>
        <v>135</v>
      </c>
      <c r="AK48" s="141">
        <f>RCFs!$C$23</f>
        <v>16.876666666666669</v>
      </c>
      <c r="AL48" s="56">
        <f t="shared" si="93"/>
        <v>186.1</v>
      </c>
      <c r="AM48" s="141">
        <f>RCFs!$C$27</f>
        <v>23.256666666666668</v>
      </c>
      <c r="AN48" s="142">
        <f t="shared" si="94"/>
        <v>148.1</v>
      </c>
      <c r="AO48" s="141">
        <f>RCFs!$C$33</f>
        <v>18.513999999999999</v>
      </c>
      <c r="AP48" s="61">
        <f t="shared" si="95"/>
        <v>222.1</v>
      </c>
      <c r="AQ48" s="142">
        <f t="shared" si="96"/>
        <v>138.4</v>
      </c>
      <c r="AR48" s="141">
        <f>RCFs!$C$35</f>
        <v>17.306666666666668</v>
      </c>
      <c r="AS48" s="61">
        <f t="shared" si="97"/>
        <v>179.9</v>
      </c>
      <c r="AT48" s="61">
        <f t="shared" si="97"/>
        <v>200.6</v>
      </c>
      <c r="AU48" s="142">
        <f t="shared" si="108"/>
        <v>142.80000000000001</v>
      </c>
      <c r="AV48" s="141">
        <f>RCFs!$C$37</f>
        <v>17.86</v>
      </c>
      <c r="AW48" s="142">
        <f t="shared" si="102"/>
        <v>144.5</v>
      </c>
      <c r="AX48" s="141">
        <f>RCFs!$C$64</f>
        <v>18.07</v>
      </c>
      <c r="AY48" s="142">
        <f t="shared" si="108"/>
        <v>146.5</v>
      </c>
      <c r="AZ48" s="141">
        <f>RCFs!$C$39</f>
        <v>18.323333333333334</v>
      </c>
      <c r="BA48" s="141">
        <f t="shared" ref="BA48" si="114">ROUNDDOWN(BB48*$C48,1)</f>
        <v>140.6</v>
      </c>
      <c r="BB48" s="141">
        <f>RCFs!$C$41</f>
        <v>17.579000000000001</v>
      </c>
      <c r="BC48" s="84"/>
      <c r="BD48" s="84"/>
      <c r="BE48" s="84"/>
      <c r="BF48" s="84"/>
      <c r="BG48" s="84"/>
      <c r="BH48" s="84"/>
      <c r="BI48" s="84"/>
      <c r="BJ48" s="84"/>
      <c r="BK48" s="84"/>
      <c r="BL48" s="84"/>
      <c r="BM48" s="85"/>
      <c r="BN48" s="85"/>
      <c r="BO48" s="85"/>
      <c r="BP48" s="85"/>
      <c r="BQ48" s="85"/>
      <c r="BR48" s="85"/>
      <c r="BS48" s="85"/>
      <c r="BT48" s="85"/>
      <c r="BU48" s="85"/>
      <c r="BV48" s="85"/>
    </row>
    <row r="49" spans="1:74" s="86" customFormat="1" x14ac:dyDescent="0.2">
      <c r="A49" s="87" t="s">
        <v>137</v>
      </c>
      <c r="B49" s="63" t="s">
        <v>138</v>
      </c>
      <c r="C49" s="64">
        <v>18</v>
      </c>
      <c r="D49" s="56">
        <f>ROUND(E49*C49,1)</f>
        <v>1226.5999999999999</v>
      </c>
      <c r="E49" s="141">
        <f>RCFs!$C$43</f>
        <v>68.141894999999991</v>
      </c>
      <c r="F49" s="56">
        <f t="shared" si="99"/>
        <v>316.39999999999998</v>
      </c>
      <c r="G49" s="141">
        <f>RCFs!$C$5</f>
        <v>17.577000000000002</v>
      </c>
      <c r="H49" s="56">
        <f t="shared" si="103"/>
        <v>316.39999999999998</v>
      </c>
      <c r="I49" s="141">
        <f>RCFs!$C$5</f>
        <v>17.577000000000002</v>
      </c>
      <c r="J49" s="65">
        <f t="shared" si="88"/>
        <v>348</v>
      </c>
      <c r="K49" s="65">
        <f t="shared" si="88"/>
        <v>433.4</v>
      </c>
      <c r="L49" s="65">
        <f t="shared" si="88"/>
        <v>465.1</v>
      </c>
      <c r="M49" s="65">
        <f t="shared" si="88"/>
        <v>512.5</v>
      </c>
      <c r="N49" s="65">
        <f t="shared" si="88"/>
        <v>632.79999999999995</v>
      </c>
      <c r="O49" s="65">
        <f t="shared" si="88"/>
        <v>680.2</v>
      </c>
      <c r="P49" s="65">
        <f t="shared" si="88"/>
        <v>949.2</v>
      </c>
      <c r="Q49" s="56">
        <f t="shared" si="104"/>
        <v>317.89999999999998</v>
      </c>
      <c r="R49" s="55">
        <f>RCFs!$C$7</f>
        <v>17.66</v>
      </c>
      <c r="S49" s="65">
        <f t="shared" si="105"/>
        <v>413.2</v>
      </c>
      <c r="T49" s="65">
        <f t="shared" si="105"/>
        <v>476.8</v>
      </c>
      <c r="U49" s="56">
        <f t="shared" si="106"/>
        <v>306.60000000000002</v>
      </c>
      <c r="V49" s="55">
        <f>RCFs!$C$9</f>
        <v>17.033999999999999</v>
      </c>
      <c r="W49" s="56">
        <f t="shared" si="89"/>
        <v>306.60000000000002</v>
      </c>
      <c r="X49" s="141">
        <f t="shared" si="107"/>
        <v>17.033999999999999</v>
      </c>
      <c r="Y49" s="65">
        <f t="shared" si="90"/>
        <v>337.3</v>
      </c>
      <c r="Z49" s="65">
        <f t="shared" si="90"/>
        <v>420.1</v>
      </c>
      <c r="AA49" s="65">
        <f t="shared" si="90"/>
        <v>496.7</v>
      </c>
      <c r="AB49" s="65">
        <f t="shared" si="90"/>
        <v>450.7</v>
      </c>
      <c r="AC49" s="65">
        <f t="shared" si="90"/>
        <v>665.3</v>
      </c>
      <c r="AD49" s="65">
        <f t="shared" si="90"/>
        <v>919.8</v>
      </c>
      <c r="AE49" s="56">
        <f t="shared" si="110"/>
        <v>296.60000000000002</v>
      </c>
      <c r="AF49" s="55">
        <f>RCFs!$C$13</f>
        <v>16.48</v>
      </c>
      <c r="AG49" s="61">
        <f t="shared" si="91"/>
        <v>489.4</v>
      </c>
      <c r="AH49" s="61">
        <f t="shared" si="91"/>
        <v>622.9</v>
      </c>
      <c r="AI49" s="61">
        <f t="shared" si="91"/>
        <v>889.8</v>
      </c>
      <c r="AJ49" s="56">
        <f t="shared" si="92"/>
        <v>303.7</v>
      </c>
      <c r="AK49" s="141">
        <f>RCFs!$C$23</f>
        <v>16.876666666666669</v>
      </c>
      <c r="AL49" s="56">
        <f t="shared" si="93"/>
        <v>418.6</v>
      </c>
      <c r="AM49" s="141">
        <f>RCFs!$C$27</f>
        <v>23.256666666666668</v>
      </c>
      <c r="AN49" s="142">
        <f t="shared" si="94"/>
        <v>333.2</v>
      </c>
      <c r="AO49" s="141">
        <f>RCFs!$C$33</f>
        <v>18.513999999999999</v>
      </c>
      <c r="AP49" s="61">
        <f t="shared" si="95"/>
        <v>499.8</v>
      </c>
      <c r="AQ49" s="142">
        <f t="shared" si="96"/>
        <v>311.5</v>
      </c>
      <c r="AR49" s="141">
        <f>RCFs!$C$35</f>
        <v>17.306666666666668</v>
      </c>
      <c r="AS49" s="61">
        <f t="shared" si="97"/>
        <v>404.9</v>
      </c>
      <c r="AT49" s="61">
        <f t="shared" si="97"/>
        <v>451.6</v>
      </c>
      <c r="AU49" s="142">
        <f t="shared" si="108"/>
        <v>321.39999999999998</v>
      </c>
      <c r="AV49" s="141">
        <f>RCFs!$C$37</f>
        <v>17.86</v>
      </c>
      <c r="AW49" s="142">
        <f t="shared" si="102"/>
        <v>325.2</v>
      </c>
      <c r="AX49" s="141">
        <f>RCFs!$C$64</f>
        <v>18.07</v>
      </c>
      <c r="AY49" s="142">
        <f t="shared" si="108"/>
        <v>329.8</v>
      </c>
      <c r="AZ49" s="141">
        <f>RCFs!$C$39</f>
        <v>18.323333333333334</v>
      </c>
      <c r="BA49" s="141">
        <f t="shared" ref="BA49" si="115">ROUNDDOWN(BB49*$C49,1)</f>
        <v>316.39999999999998</v>
      </c>
      <c r="BB49" s="141">
        <f>RCFs!$C$41</f>
        <v>17.579000000000001</v>
      </c>
      <c r="BC49" s="84"/>
      <c r="BD49" s="84"/>
      <c r="BE49" s="84"/>
      <c r="BF49" s="84"/>
      <c r="BG49" s="84"/>
      <c r="BH49" s="84"/>
      <c r="BI49" s="84"/>
      <c r="BJ49" s="84"/>
      <c r="BK49" s="84"/>
      <c r="BL49" s="84"/>
      <c r="BM49" s="85"/>
      <c r="BN49" s="85"/>
      <c r="BO49" s="85"/>
      <c r="BP49" s="85"/>
      <c r="BQ49" s="85"/>
      <c r="BR49" s="85"/>
      <c r="BS49" s="85"/>
      <c r="BT49" s="85"/>
      <c r="BU49" s="85"/>
      <c r="BV49" s="85"/>
    </row>
    <row r="50" spans="1:74" s="86" customFormat="1" x14ac:dyDescent="0.2">
      <c r="A50" s="83" t="s">
        <v>95</v>
      </c>
      <c r="B50" s="63" t="s">
        <v>35</v>
      </c>
      <c r="C50" s="64">
        <v>3.25</v>
      </c>
      <c r="D50" s="56">
        <f t="shared" si="87"/>
        <v>221.5</v>
      </c>
      <c r="E50" s="141">
        <f>RCFs!$C$43</f>
        <v>68.141894999999991</v>
      </c>
      <c r="F50" s="56">
        <f t="shared" si="99"/>
        <v>57.1</v>
      </c>
      <c r="G50" s="141">
        <f>RCFs!$C$5</f>
        <v>17.577000000000002</v>
      </c>
      <c r="H50" s="56">
        <f t="shared" si="103"/>
        <v>57.1</v>
      </c>
      <c r="I50" s="141">
        <f>RCFs!$C$5</f>
        <v>17.577000000000002</v>
      </c>
      <c r="J50" s="65">
        <f t="shared" si="88"/>
        <v>62.8</v>
      </c>
      <c r="K50" s="65">
        <f t="shared" si="88"/>
        <v>78.3</v>
      </c>
      <c r="L50" s="65">
        <f t="shared" si="88"/>
        <v>84</v>
      </c>
      <c r="M50" s="65">
        <f t="shared" si="88"/>
        <v>92.5</v>
      </c>
      <c r="N50" s="65">
        <f t="shared" si="88"/>
        <v>114.3</v>
      </c>
      <c r="O50" s="65">
        <f t="shared" si="88"/>
        <v>122.8</v>
      </c>
      <c r="P50" s="65">
        <f t="shared" si="88"/>
        <v>171.4</v>
      </c>
      <c r="Q50" s="56">
        <f t="shared" si="104"/>
        <v>57.4</v>
      </c>
      <c r="R50" s="55">
        <f>RCFs!$C$7</f>
        <v>17.66</v>
      </c>
      <c r="S50" s="65">
        <f t="shared" si="105"/>
        <v>74.599999999999994</v>
      </c>
      <c r="T50" s="65">
        <f t="shared" si="105"/>
        <v>86.1</v>
      </c>
      <c r="U50" s="56">
        <f t="shared" si="106"/>
        <v>55.3</v>
      </c>
      <c r="V50" s="55">
        <f>RCFs!$C$9</f>
        <v>17.033999999999999</v>
      </c>
      <c r="W50" s="56">
        <f t="shared" si="89"/>
        <v>55.4</v>
      </c>
      <c r="X50" s="141">
        <f t="shared" si="107"/>
        <v>17.033999999999999</v>
      </c>
      <c r="Y50" s="65">
        <f t="shared" si="90"/>
        <v>60.9</v>
      </c>
      <c r="Z50" s="65">
        <f t="shared" si="90"/>
        <v>75.8</v>
      </c>
      <c r="AA50" s="65">
        <f t="shared" si="90"/>
        <v>89.7</v>
      </c>
      <c r="AB50" s="65">
        <f t="shared" si="90"/>
        <v>81.400000000000006</v>
      </c>
      <c r="AC50" s="65">
        <f t="shared" si="90"/>
        <v>120.1</v>
      </c>
      <c r="AD50" s="65">
        <f t="shared" si="90"/>
        <v>166.1</v>
      </c>
      <c r="AE50" s="56">
        <f t="shared" si="110"/>
        <v>53.6</v>
      </c>
      <c r="AF50" s="55">
        <f>RCFs!$C$13</f>
        <v>16.48</v>
      </c>
      <c r="AG50" s="61">
        <f t="shared" si="91"/>
        <v>88.4</v>
      </c>
      <c r="AH50" s="61">
        <f t="shared" si="91"/>
        <v>112.6</v>
      </c>
      <c r="AI50" s="61">
        <f t="shared" si="91"/>
        <v>160.80000000000001</v>
      </c>
      <c r="AJ50" s="56">
        <f t="shared" si="92"/>
        <v>54.8</v>
      </c>
      <c r="AK50" s="141">
        <f>RCFs!$C$23</f>
        <v>16.876666666666669</v>
      </c>
      <c r="AL50" s="56">
        <f t="shared" si="93"/>
        <v>75.599999999999994</v>
      </c>
      <c r="AM50" s="141">
        <f>RCFs!$C$27</f>
        <v>23.256666666666668</v>
      </c>
      <c r="AN50" s="142">
        <f t="shared" si="94"/>
        <v>60.1</v>
      </c>
      <c r="AO50" s="141">
        <f>RCFs!$C$33</f>
        <v>18.513999999999999</v>
      </c>
      <c r="AP50" s="61">
        <f t="shared" si="95"/>
        <v>90.1</v>
      </c>
      <c r="AQ50" s="142">
        <f t="shared" si="96"/>
        <v>56.2</v>
      </c>
      <c r="AR50" s="141">
        <f>RCFs!$C$35</f>
        <v>17.306666666666668</v>
      </c>
      <c r="AS50" s="61">
        <f t="shared" si="97"/>
        <v>73</v>
      </c>
      <c r="AT50" s="61">
        <f t="shared" si="97"/>
        <v>81.400000000000006</v>
      </c>
      <c r="AU50" s="142">
        <f t="shared" si="108"/>
        <v>58</v>
      </c>
      <c r="AV50" s="141">
        <f>RCFs!$C$37</f>
        <v>17.86</v>
      </c>
      <c r="AW50" s="142">
        <f t="shared" si="102"/>
        <v>58.7</v>
      </c>
      <c r="AX50" s="141">
        <f>RCFs!$C$64</f>
        <v>18.07</v>
      </c>
      <c r="AY50" s="142">
        <f t="shared" si="108"/>
        <v>59.5</v>
      </c>
      <c r="AZ50" s="141">
        <f>RCFs!$C$39</f>
        <v>18.323333333333334</v>
      </c>
      <c r="BA50" s="141">
        <f t="shared" ref="BA50" si="116">ROUNDDOWN(BB50*$C50,1)</f>
        <v>57.1</v>
      </c>
      <c r="BB50" s="141">
        <f>RCFs!$C$41</f>
        <v>17.579000000000001</v>
      </c>
      <c r="BC50" s="84"/>
      <c r="BD50" s="84"/>
      <c r="BE50" s="84"/>
      <c r="BF50" s="84"/>
      <c r="BG50" s="84"/>
      <c r="BH50" s="84"/>
      <c r="BI50" s="84"/>
      <c r="BJ50" s="84"/>
      <c r="BK50" s="84"/>
      <c r="BL50" s="84"/>
      <c r="BM50" s="85"/>
      <c r="BN50" s="85"/>
      <c r="BO50" s="85"/>
      <c r="BP50" s="85"/>
      <c r="BQ50" s="85"/>
      <c r="BR50" s="85"/>
      <c r="BS50" s="85"/>
      <c r="BT50" s="85"/>
      <c r="BU50" s="85"/>
      <c r="BV50" s="85"/>
    </row>
    <row r="51" spans="1:74" s="86" customFormat="1" x14ac:dyDescent="0.2">
      <c r="A51" s="83" t="s">
        <v>96</v>
      </c>
      <c r="B51" s="63" t="s">
        <v>36</v>
      </c>
      <c r="C51" s="64">
        <v>80</v>
      </c>
      <c r="D51" s="56">
        <f t="shared" si="87"/>
        <v>5451.4</v>
      </c>
      <c r="E51" s="141">
        <f>RCFs!$C$43</f>
        <v>68.141894999999991</v>
      </c>
      <c r="F51" s="56">
        <f t="shared" si="99"/>
        <v>1406.2</v>
      </c>
      <c r="G51" s="141">
        <f>RCFs!$C$5</f>
        <v>17.577000000000002</v>
      </c>
      <c r="H51" s="56">
        <f t="shared" si="103"/>
        <v>1406.2</v>
      </c>
      <c r="I51" s="141">
        <f>RCFs!$C$5</f>
        <v>17.577000000000002</v>
      </c>
      <c r="J51" s="65">
        <f t="shared" si="88"/>
        <v>1546.8</v>
      </c>
      <c r="K51" s="65">
        <f t="shared" si="88"/>
        <v>1926.4</v>
      </c>
      <c r="L51" s="65">
        <f t="shared" si="88"/>
        <v>2067.1</v>
      </c>
      <c r="M51" s="65">
        <f t="shared" si="88"/>
        <v>2278</v>
      </c>
      <c r="N51" s="65">
        <f t="shared" si="88"/>
        <v>2812.3</v>
      </c>
      <c r="O51" s="65">
        <f t="shared" si="88"/>
        <v>3023.2</v>
      </c>
      <c r="P51" s="65">
        <f t="shared" si="88"/>
        <v>4218.5</v>
      </c>
      <c r="Q51" s="56">
        <f t="shared" si="104"/>
        <v>1412.8</v>
      </c>
      <c r="R51" s="55">
        <f>RCFs!$C$7</f>
        <v>17.66</v>
      </c>
      <c r="S51" s="65">
        <f t="shared" si="105"/>
        <v>1836.6</v>
      </c>
      <c r="T51" s="65">
        <f t="shared" si="105"/>
        <v>2119.1999999999998</v>
      </c>
      <c r="U51" s="56">
        <f t="shared" si="106"/>
        <v>1362.7</v>
      </c>
      <c r="V51" s="55">
        <f>RCFs!$C$9</f>
        <v>17.033999999999999</v>
      </c>
      <c r="W51" s="56">
        <f t="shared" si="89"/>
        <v>1362.7</v>
      </c>
      <c r="X51" s="141">
        <f t="shared" si="107"/>
        <v>17.033999999999999</v>
      </c>
      <c r="Y51" s="65">
        <f t="shared" si="90"/>
        <v>1499</v>
      </c>
      <c r="Z51" s="65">
        <f t="shared" si="90"/>
        <v>1866.9</v>
      </c>
      <c r="AA51" s="65">
        <f t="shared" si="90"/>
        <v>2207.6</v>
      </c>
      <c r="AB51" s="65">
        <f t="shared" si="90"/>
        <v>2003.2</v>
      </c>
      <c r="AC51" s="65">
        <f t="shared" si="90"/>
        <v>2957.1</v>
      </c>
      <c r="AD51" s="65">
        <f t="shared" si="90"/>
        <v>4088.2</v>
      </c>
      <c r="AE51" s="56">
        <f t="shared" si="110"/>
        <v>1318.4</v>
      </c>
      <c r="AF51" s="55">
        <f>RCFs!$C$13</f>
        <v>16.48</v>
      </c>
      <c r="AG51" s="61">
        <f t="shared" si="91"/>
        <v>2175.4</v>
      </c>
      <c r="AH51" s="61">
        <f t="shared" si="91"/>
        <v>2768.6</v>
      </c>
      <c r="AI51" s="61">
        <f t="shared" si="91"/>
        <v>3955.2</v>
      </c>
      <c r="AJ51" s="56">
        <f t="shared" si="92"/>
        <v>1350.1</v>
      </c>
      <c r="AK51" s="141">
        <f>RCFs!$C$23</f>
        <v>16.876666666666669</v>
      </c>
      <c r="AL51" s="56">
        <f t="shared" si="93"/>
        <v>1860.5</v>
      </c>
      <c r="AM51" s="141">
        <f>RCFs!$C$27</f>
        <v>23.256666666666668</v>
      </c>
      <c r="AN51" s="142">
        <f t="shared" si="94"/>
        <v>1481.1</v>
      </c>
      <c r="AO51" s="141">
        <f>RCFs!$C$33</f>
        <v>18.513999999999999</v>
      </c>
      <c r="AP51" s="61">
        <f t="shared" si="95"/>
        <v>2221.6</v>
      </c>
      <c r="AQ51" s="142">
        <f t="shared" si="96"/>
        <v>1384.5</v>
      </c>
      <c r="AR51" s="141">
        <f>RCFs!$C$35</f>
        <v>17.306666666666668</v>
      </c>
      <c r="AS51" s="61">
        <f t="shared" si="97"/>
        <v>1799.8</v>
      </c>
      <c r="AT51" s="61">
        <f t="shared" si="97"/>
        <v>2007.5</v>
      </c>
      <c r="AU51" s="142">
        <f t="shared" si="108"/>
        <v>1428.8</v>
      </c>
      <c r="AV51" s="141">
        <f>RCFs!$C$37</f>
        <v>17.86</v>
      </c>
      <c r="AW51" s="142">
        <f t="shared" si="102"/>
        <v>1445.6</v>
      </c>
      <c r="AX51" s="141">
        <f>RCFs!$C$64</f>
        <v>18.07</v>
      </c>
      <c r="AY51" s="142">
        <f t="shared" si="108"/>
        <v>1465.8</v>
      </c>
      <c r="AZ51" s="141">
        <f>RCFs!$C$39</f>
        <v>18.323333333333334</v>
      </c>
      <c r="BA51" s="141">
        <f t="shared" ref="BA51" si="117">ROUNDDOWN(BB51*$C51,1)</f>
        <v>1406.3</v>
      </c>
      <c r="BB51" s="141">
        <f>RCFs!$C$41</f>
        <v>17.579000000000001</v>
      </c>
      <c r="BC51" s="84"/>
      <c r="BD51" s="84"/>
      <c r="BE51" s="84"/>
      <c r="BF51" s="84"/>
      <c r="BG51" s="84"/>
      <c r="BH51" s="84"/>
      <c r="BI51" s="84"/>
      <c r="BJ51" s="84"/>
      <c r="BK51" s="84"/>
      <c r="BL51" s="84"/>
      <c r="BM51" s="85"/>
      <c r="BN51" s="85"/>
      <c r="BO51" s="85"/>
      <c r="BP51" s="85"/>
      <c r="BQ51" s="85"/>
      <c r="BR51" s="85"/>
      <c r="BS51" s="85"/>
      <c r="BT51" s="85"/>
      <c r="BU51" s="85"/>
      <c r="BV51" s="85"/>
    </row>
    <row r="52" spans="1:74" s="86" customFormat="1" x14ac:dyDescent="0.2">
      <c r="A52" s="83" t="s">
        <v>97</v>
      </c>
      <c r="B52" s="63" t="s">
        <v>37</v>
      </c>
      <c r="C52" s="64">
        <v>1.9</v>
      </c>
      <c r="D52" s="56">
        <f t="shared" si="87"/>
        <v>129.5</v>
      </c>
      <c r="E52" s="141">
        <f>RCFs!$C$43</f>
        <v>68.141894999999991</v>
      </c>
      <c r="F52" s="56">
        <f t="shared" si="99"/>
        <v>33.4</v>
      </c>
      <c r="G52" s="141">
        <f>RCFs!$C$5</f>
        <v>17.577000000000002</v>
      </c>
      <c r="H52" s="56">
        <f t="shared" si="103"/>
        <v>33.4</v>
      </c>
      <c r="I52" s="141">
        <f>RCFs!$C$5</f>
        <v>17.577000000000002</v>
      </c>
      <c r="J52" s="65">
        <f t="shared" ref="J52:P61" si="118">ROUND($C52*$I52*J$6,1)</f>
        <v>36.700000000000003</v>
      </c>
      <c r="K52" s="65">
        <f t="shared" si="118"/>
        <v>45.8</v>
      </c>
      <c r="L52" s="65">
        <f t="shared" si="118"/>
        <v>49.1</v>
      </c>
      <c r="M52" s="65">
        <f t="shared" si="118"/>
        <v>54.1</v>
      </c>
      <c r="N52" s="65">
        <f t="shared" si="118"/>
        <v>66.8</v>
      </c>
      <c r="O52" s="65">
        <f t="shared" si="118"/>
        <v>71.8</v>
      </c>
      <c r="P52" s="65">
        <f t="shared" si="118"/>
        <v>100.2</v>
      </c>
      <c r="Q52" s="56">
        <f t="shared" si="104"/>
        <v>33.6</v>
      </c>
      <c r="R52" s="55">
        <f>RCFs!$C$7</f>
        <v>17.66</v>
      </c>
      <c r="S52" s="65">
        <f t="shared" si="105"/>
        <v>43.6</v>
      </c>
      <c r="T52" s="65">
        <f t="shared" si="105"/>
        <v>50.4</v>
      </c>
      <c r="U52" s="56">
        <f t="shared" si="106"/>
        <v>32.299999999999997</v>
      </c>
      <c r="V52" s="55">
        <f>RCFs!$C$9</f>
        <v>17.033999999999999</v>
      </c>
      <c r="W52" s="56">
        <f t="shared" si="89"/>
        <v>32.4</v>
      </c>
      <c r="X52" s="141">
        <f t="shared" si="107"/>
        <v>17.033999999999999</v>
      </c>
      <c r="Y52" s="65">
        <f t="shared" si="90"/>
        <v>35.6</v>
      </c>
      <c r="Z52" s="65">
        <f t="shared" si="90"/>
        <v>44.3</v>
      </c>
      <c r="AA52" s="65">
        <f t="shared" si="90"/>
        <v>52.4</v>
      </c>
      <c r="AB52" s="65">
        <f t="shared" si="90"/>
        <v>47.6</v>
      </c>
      <c r="AC52" s="65">
        <f t="shared" si="90"/>
        <v>70.2</v>
      </c>
      <c r="AD52" s="65">
        <f t="shared" si="90"/>
        <v>97.1</v>
      </c>
      <c r="AE52" s="56">
        <f t="shared" si="110"/>
        <v>31.3</v>
      </c>
      <c r="AF52" s="55">
        <f>RCFs!$C$13</f>
        <v>16.48</v>
      </c>
      <c r="AG52" s="61">
        <f t="shared" si="91"/>
        <v>51.6</v>
      </c>
      <c r="AH52" s="61">
        <f t="shared" si="91"/>
        <v>65.7</v>
      </c>
      <c r="AI52" s="61">
        <f t="shared" si="91"/>
        <v>93.9</v>
      </c>
      <c r="AJ52" s="56">
        <f t="shared" si="92"/>
        <v>32</v>
      </c>
      <c r="AK52" s="141">
        <f>RCFs!$C$23</f>
        <v>16.876666666666669</v>
      </c>
      <c r="AL52" s="56">
        <f t="shared" si="93"/>
        <v>44.2</v>
      </c>
      <c r="AM52" s="141">
        <f>RCFs!$C$27</f>
        <v>23.256666666666668</v>
      </c>
      <c r="AN52" s="142">
        <f t="shared" si="94"/>
        <v>35.1</v>
      </c>
      <c r="AO52" s="141">
        <f>RCFs!$C$33</f>
        <v>18.513999999999999</v>
      </c>
      <c r="AP52" s="61">
        <f t="shared" si="95"/>
        <v>52.6</v>
      </c>
      <c r="AQ52" s="142">
        <f t="shared" si="96"/>
        <v>32.799999999999997</v>
      </c>
      <c r="AR52" s="141">
        <f>RCFs!$C$35</f>
        <v>17.306666666666668</v>
      </c>
      <c r="AS52" s="61">
        <f t="shared" si="97"/>
        <v>42.6</v>
      </c>
      <c r="AT52" s="61">
        <f t="shared" si="97"/>
        <v>47.5</v>
      </c>
      <c r="AU52" s="142">
        <f t="shared" si="108"/>
        <v>33.9</v>
      </c>
      <c r="AV52" s="141">
        <f>RCFs!$C$37</f>
        <v>17.86</v>
      </c>
      <c r="AW52" s="142">
        <f t="shared" si="102"/>
        <v>34.299999999999997</v>
      </c>
      <c r="AX52" s="141">
        <f>RCFs!$C$64</f>
        <v>18.07</v>
      </c>
      <c r="AY52" s="142">
        <f t="shared" si="108"/>
        <v>34.799999999999997</v>
      </c>
      <c r="AZ52" s="141">
        <f>RCFs!$C$39</f>
        <v>18.323333333333334</v>
      </c>
      <c r="BA52" s="141">
        <f t="shared" ref="BA52" si="119">ROUNDDOWN(BB52*$C52,1)</f>
        <v>33.4</v>
      </c>
      <c r="BB52" s="141">
        <f>RCFs!$C$41</f>
        <v>17.579000000000001</v>
      </c>
      <c r="BC52" s="84"/>
      <c r="BD52" s="84"/>
      <c r="BE52" s="84"/>
      <c r="BF52" s="84"/>
      <c r="BG52" s="84"/>
      <c r="BH52" s="84"/>
      <c r="BI52" s="84"/>
      <c r="BJ52" s="84"/>
      <c r="BK52" s="84"/>
      <c r="BL52" s="84"/>
      <c r="BM52" s="85"/>
      <c r="BN52" s="85"/>
      <c r="BO52" s="85"/>
      <c r="BP52" s="85"/>
      <c r="BQ52" s="85"/>
      <c r="BR52" s="85"/>
      <c r="BS52" s="85"/>
      <c r="BT52" s="85"/>
      <c r="BU52" s="85"/>
      <c r="BV52" s="85"/>
    </row>
    <row r="53" spans="1:74" s="86" customFormat="1" x14ac:dyDescent="0.2">
      <c r="A53" s="83" t="s">
        <v>98</v>
      </c>
      <c r="B53" s="63" t="s">
        <v>38</v>
      </c>
      <c r="C53" s="64">
        <v>20</v>
      </c>
      <c r="D53" s="56">
        <f t="shared" si="87"/>
        <v>1362.8</v>
      </c>
      <c r="E53" s="141">
        <f>RCFs!$C$43</f>
        <v>68.141894999999991</v>
      </c>
      <c r="F53" s="56">
        <f t="shared" si="99"/>
        <v>351.5</v>
      </c>
      <c r="G53" s="141">
        <f>RCFs!$C$5</f>
        <v>17.577000000000002</v>
      </c>
      <c r="H53" s="56">
        <f t="shared" si="103"/>
        <v>351.5</v>
      </c>
      <c r="I53" s="141">
        <f>RCFs!$C$5</f>
        <v>17.577000000000002</v>
      </c>
      <c r="J53" s="65">
        <f t="shared" si="118"/>
        <v>386.7</v>
      </c>
      <c r="K53" s="65">
        <f t="shared" si="118"/>
        <v>481.6</v>
      </c>
      <c r="L53" s="65">
        <f t="shared" si="118"/>
        <v>516.79999999999995</v>
      </c>
      <c r="M53" s="65">
        <f t="shared" si="118"/>
        <v>569.5</v>
      </c>
      <c r="N53" s="65">
        <f t="shared" si="118"/>
        <v>703.1</v>
      </c>
      <c r="O53" s="65">
        <f t="shared" si="118"/>
        <v>755.8</v>
      </c>
      <c r="P53" s="65">
        <f t="shared" si="118"/>
        <v>1054.5999999999999</v>
      </c>
      <c r="Q53" s="56">
        <f t="shared" si="104"/>
        <v>353.2</v>
      </c>
      <c r="R53" s="55">
        <f>RCFs!$C$7</f>
        <v>17.66</v>
      </c>
      <c r="S53" s="65">
        <f t="shared" si="105"/>
        <v>459.1</v>
      </c>
      <c r="T53" s="65">
        <f t="shared" si="105"/>
        <v>529.79999999999995</v>
      </c>
      <c r="U53" s="56">
        <f t="shared" si="106"/>
        <v>340.6</v>
      </c>
      <c r="V53" s="55">
        <f>RCFs!$C$9</f>
        <v>17.033999999999999</v>
      </c>
      <c r="W53" s="56">
        <f t="shared" si="89"/>
        <v>340.7</v>
      </c>
      <c r="X53" s="141">
        <f t="shared" si="107"/>
        <v>17.033999999999999</v>
      </c>
      <c r="Y53" s="65">
        <f t="shared" si="90"/>
        <v>374.7</v>
      </c>
      <c r="Z53" s="65">
        <f t="shared" si="90"/>
        <v>466.7</v>
      </c>
      <c r="AA53" s="65">
        <f t="shared" si="90"/>
        <v>551.9</v>
      </c>
      <c r="AB53" s="65">
        <f t="shared" si="90"/>
        <v>500.8</v>
      </c>
      <c r="AC53" s="65">
        <f t="shared" si="90"/>
        <v>739.3</v>
      </c>
      <c r="AD53" s="65">
        <f t="shared" si="90"/>
        <v>1022</v>
      </c>
      <c r="AE53" s="56">
        <f t="shared" si="110"/>
        <v>329.6</v>
      </c>
      <c r="AF53" s="55">
        <f>RCFs!$C$13</f>
        <v>16.48</v>
      </c>
      <c r="AG53" s="61">
        <f t="shared" si="91"/>
        <v>543.79999999999995</v>
      </c>
      <c r="AH53" s="61">
        <f t="shared" si="91"/>
        <v>692.2</v>
      </c>
      <c r="AI53" s="61">
        <f t="shared" si="91"/>
        <v>988.8</v>
      </c>
      <c r="AJ53" s="56">
        <f t="shared" si="92"/>
        <v>337.5</v>
      </c>
      <c r="AK53" s="141">
        <f>RCFs!$C$23</f>
        <v>16.876666666666669</v>
      </c>
      <c r="AL53" s="56">
        <f t="shared" si="93"/>
        <v>465.1</v>
      </c>
      <c r="AM53" s="141">
        <f>RCFs!$C$27</f>
        <v>23.256666666666668</v>
      </c>
      <c r="AN53" s="142">
        <f t="shared" si="94"/>
        <v>370.2</v>
      </c>
      <c r="AO53" s="141">
        <f>RCFs!$C$33</f>
        <v>18.513999999999999</v>
      </c>
      <c r="AP53" s="61">
        <f t="shared" si="95"/>
        <v>555.29999999999995</v>
      </c>
      <c r="AQ53" s="142">
        <f t="shared" si="96"/>
        <v>346.1</v>
      </c>
      <c r="AR53" s="141">
        <f>RCFs!$C$35</f>
        <v>17.306666666666668</v>
      </c>
      <c r="AS53" s="61">
        <f t="shared" si="97"/>
        <v>449.9</v>
      </c>
      <c r="AT53" s="61">
        <f t="shared" si="97"/>
        <v>501.8</v>
      </c>
      <c r="AU53" s="142">
        <f t="shared" si="108"/>
        <v>357.2</v>
      </c>
      <c r="AV53" s="141">
        <f>RCFs!$C$37</f>
        <v>17.86</v>
      </c>
      <c r="AW53" s="142">
        <f t="shared" si="102"/>
        <v>361.4</v>
      </c>
      <c r="AX53" s="141">
        <f>RCFs!$C$64</f>
        <v>18.07</v>
      </c>
      <c r="AY53" s="142">
        <f t="shared" si="108"/>
        <v>366.4</v>
      </c>
      <c r="AZ53" s="141">
        <f>RCFs!$C$39</f>
        <v>18.323333333333334</v>
      </c>
      <c r="BA53" s="141">
        <f t="shared" ref="BA53" si="120">ROUNDDOWN(BB53*$C53,1)</f>
        <v>351.5</v>
      </c>
      <c r="BB53" s="141">
        <f>RCFs!$C$41</f>
        <v>17.579000000000001</v>
      </c>
      <c r="BC53" s="84"/>
      <c r="BD53" s="84"/>
      <c r="BE53" s="84"/>
      <c r="BF53" s="84"/>
      <c r="BG53" s="84"/>
      <c r="BH53" s="84"/>
      <c r="BI53" s="84"/>
      <c r="BJ53" s="84"/>
      <c r="BK53" s="84"/>
      <c r="BL53" s="84"/>
      <c r="BM53" s="85"/>
      <c r="BN53" s="85"/>
      <c r="BO53" s="85"/>
      <c r="BP53" s="85"/>
      <c r="BQ53" s="85"/>
      <c r="BR53" s="85"/>
      <c r="BS53" s="85"/>
      <c r="BT53" s="85"/>
      <c r="BU53" s="85"/>
      <c r="BV53" s="85"/>
    </row>
    <row r="54" spans="1:74" s="86" customFormat="1" x14ac:dyDescent="0.2">
      <c r="A54" s="83" t="s">
        <v>99</v>
      </c>
      <c r="B54" s="63" t="s">
        <v>39</v>
      </c>
      <c r="C54" s="64">
        <v>14</v>
      </c>
      <c r="D54" s="56">
        <f t="shared" si="87"/>
        <v>954</v>
      </c>
      <c r="E54" s="141">
        <f>RCFs!$C$43</f>
        <v>68.141894999999991</v>
      </c>
      <c r="F54" s="56">
        <f t="shared" si="99"/>
        <v>246.1</v>
      </c>
      <c r="G54" s="141">
        <f>RCFs!$C$5</f>
        <v>17.577000000000002</v>
      </c>
      <c r="H54" s="56">
        <f t="shared" si="103"/>
        <v>246.1</v>
      </c>
      <c r="I54" s="141">
        <f>RCFs!$C$5</f>
        <v>17.577000000000002</v>
      </c>
      <c r="J54" s="65">
        <f t="shared" si="118"/>
        <v>270.7</v>
      </c>
      <c r="K54" s="65">
        <f t="shared" si="118"/>
        <v>337.1</v>
      </c>
      <c r="L54" s="65">
        <f t="shared" si="118"/>
        <v>361.7</v>
      </c>
      <c r="M54" s="65">
        <f t="shared" si="118"/>
        <v>398.6</v>
      </c>
      <c r="N54" s="65">
        <f t="shared" si="118"/>
        <v>492.2</v>
      </c>
      <c r="O54" s="65">
        <f t="shared" si="118"/>
        <v>529.1</v>
      </c>
      <c r="P54" s="65">
        <f t="shared" si="118"/>
        <v>738.2</v>
      </c>
      <c r="Q54" s="56">
        <f t="shared" si="104"/>
        <v>247.2</v>
      </c>
      <c r="R54" s="55">
        <f>RCFs!$C$7</f>
        <v>17.66</v>
      </c>
      <c r="S54" s="65">
        <f t="shared" si="105"/>
        <v>321.3</v>
      </c>
      <c r="T54" s="65">
        <f t="shared" si="105"/>
        <v>370.8</v>
      </c>
      <c r="U54" s="56">
        <f t="shared" si="106"/>
        <v>238.4</v>
      </c>
      <c r="V54" s="55">
        <f>RCFs!$C$9</f>
        <v>17.033999999999999</v>
      </c>
      <c r="W54" s="56">
        <f t="shared" si="89"/>
        <v>238.5</v>
      </c>
      <c r="X54" s="141">
        <f t="shared" si="107"/>
        <v>17.033999999999999</v>
      </c>
      <c r="Y54" s="65">
        <f t="shared" ref="Y54:AB73" si="121">ROUND($C54*$X54*Y$6,1)</f>
        <v>262.3</v>
      </c>
      <c r="Z54" s="65">
        <f t="shared" si="121"/>
        <v>326.7</v>
      </c>
      <c r="AA54" s="65">
        <f t="shared" si="121"/>
        <v>386.3</v>
      </c>
      <c r="AB54" s="65">
        <f t="shared" si="121"/>
        <v>350.6</v>
      </c>
      <c r="AC54" s="65">
        <v>1</v>
      </c>
      <c r="AD54" s="65">
        <f t="shared" ref="AD54:AD85" si="122">ROUND($C54*$X54*AD$6,1)</f>
        <v>715.4</v>
      </c>
      <c r="AE54" s="56">
        <f t="shared" si="110"/>
        <v>230.7</v>
      </c>
      <c r="AF54" s="55">
        <f>RCFs!$C$13</f>
        <v>16.48</v>
      </c>
      <c r="AG54" s="61">
        <f t="shared" si="91"/>
        <v>380.7</v>
      </c>
      <c r="AH54" s="61">
        <f t="shared" si="91"/>
        <v>484.5</v>
      </c>
      <c r="AI54" s="61">
        <f t="shared" si="91"/>
        <v>692.1</v>
      </c>
      <c r="AJ54" s="56">
        <f t="shared" si="92"/>
        <v>236.2</v>
      </c>
      <c r="AK54" s="141">
        <f>RCFs!$C$23</f>
        <v>16.876666666666669</v>
      </c>
      <c r="AL54" s="56">
        <f t="shared" si="93"/>
        <v>325.60000000000002</v>
      </c>
      <c r="AM54" s="141">
        <f>RCFs!$C$27</f>
        <v>23.256666666666668</v>
      </c>
      <c r="AN54" s="142">
        <f t="shared" si="94"/>
        <v>259.10000000000002</v>
      </c>
      <c r="AO54" s="141">
        <f>RCFs!$C$33</f>
        <v>18.513999999999999</v>
      </c>
      <c r="AP54" s="61">
        <f t="shared" si="95"/>
        <v>388.6</v>
      </c>
      <c r="AQ54" s="142">
        <f t="shared" si="96"/>
        <v>242.2</v>
      </c>
      <c r="AR54" s="141">
        <f>RCFs!$C$35</f>
        <v>17.306666666666668</v>
      </c>
      <c r="AS54" s="61">
        <f t="shared" si="97"/>
        <v>314.8</v>
      </c>
      <c r="AT54" s="61">
        <f t="shared" si="97"/>
        <v>351.1</v>
      </c>
      <c r="AU54" s="142">
        <f t="shared" si="108"/>
        <v>250</v>
      </c>
      <c r="AV54" s="141">
        <f>RCFs!$C$37</f>
        <v>17.86</v>
      </c>
      <c r="AW54" s="142">
        <f t="shared" si="102"/>
        <v>252.9</v>
      </c>
      <c r="AX54" s="141">
        <f>RCFs!$C$64</f>
        <v>18.07</v>
      </c>
      <c r="AY54" s="142">
        <f t="shared" si="108"/>
        <v>256.5</v>
      </c>
      <c r="AZ54" s="141">
        <f>RCFs!$C$39</f>
        <v>18.323333333333334</v>
      </c>
      <c r="BA54" s="141">
        <f t="shared" ref="BA54" si="123">ROUNDDOWN(BB54*$C54,1)</f>
        <v>246.1</v>
      </c>
      <c r="BB54" s="141">
        <f>RCFs!$C$41</f>
        <v>17.579000000000001</v>
      </c>
      <c r="BC54" s="84"/>
      <c r="BD54" s="84"/>
      <c r="BE54" s="84"/>
      <c r="BF54" s="84"/>
      <c r="BG54" s="84"/>
      <c r="BH54" s="84"/>
      <c r="BI54" s="84"/>
      <c r="BJ54" s="84"/>
      <c r="BK54" s="84"/>
      <c r="BL54" s="84"/>
      <c r="BM54" s="85"/>
      <c r="BN54" s="85"/>
      <c r="BO54" s="85"/>
      <c r="BP54" s="85"/>
      <c r="BQ54" s="85"/>
      <c r="BR54" s="85"/>
      <c r="BS54" s="85"/>
      <c r="BT54" s="85"/>
      <c r="BU54" s="85"/>
      <c r="BV54" s="85"/>
    </row>
    <row r="55" spans="1:74" s="86" customFormat="1" x14ac:dyDescent="0.2">
      <c r="A55" s="83" t="s">
        <v>100</v>
      </c>
      <c r="B55" s="63" t="s">
        <v>40</v>
      </c>
      <c r="C55" s="64">
        <v>27</v>
      </c>
      <c r="D55" s="56">
        <f t="shared" si="87"/>
        <v>1839.8</v>
      </c>
      <c r="E55" s="141">
        <f>RCFs!$C$43</f>
        <v>68.141894999999991</v>
      </c>
      <c r="F55" s="56">
        <f t="shared" si="99"/>
        <v>474.6</v>
      </c>
      <c r="G55" s="141">
        <f>RCFs!$C$5</f>
        <v>17.577000000000002</v>
      </c>
      <c r="H55" s="56">
        <f t="shared" si="103"/>
        <v>474.6</v>
      </c>
      <c r="I55" s="141">
        <f>RCFs!$C$5</f>
        <v>17.577000000000002</v>
      </c>
      <c r="J55" s="65">
        <f t="shared" si="118"/>
        <v>522</v>
      </c>
      <c r="K55" s="65">
        <f t="shared" si="118"/>
        <v>650.20000000000005</v>
      </c>
      <c r="L55" s="65">
        <f t="shared" si="118"/>
        <v>697.6</v>
      </c>
      <c r="M55" s="65">
        <f t="shared" si="118"/>
        <v>768.8</v>
      </c>
      <c r="N55" s="65">
        <f t="shared" si="118"/>
        <v>949.2</v>
      </c>
      <c r="O55" s="65">
        <f t="shared" si="118"/>
        <v>1020.3</v>
      </c>
      <c r="P55" s="65">
        <f t="shared" si="118"/>
        <v>1423.7</v>
      </c>
      <c r="Q55" s="56">
        <f t="shared" si="104"/>
        <v>476.8</v>
      </c>
      <c r="R55" s="55">
        <f>RCFs!$C$7</f>
        <v>17.66</v>
      </c>
      <c r="S55" s="65">
        <f t="shared" si="105"/>
        <v>619.79999999999995</v>
      </c>
      <c r="T55" s="65">
        <f t="shared" si="105"/>
        <v>715.2</v>
      </c>
      <c r="U55" s="56">
        <f t="shared" si="106"/>
        <v>459.9</v>
      </c>
      <c r="V55" s="55">
        <f>RCFs!$C$9</f>
        <v>17.033999999999999</v>
      </c>
      <c r="W55" s="56">
        <f t="shared" si="89"/>
        <v>459.9</v>
      </c>
      <c r="X55" s="141">
        <f t="shared" si="107"/>
        <v>17.033999999999999</v>
      </c>
      <c r="Y55" s="65">
        <f t="shared" si="121"/>
        <v>505.9</v>
      </c>
      <c r="Z55" s="65">
        <f t="shared" si="121"/>
        <v>630.1</v>
      </c>
      <c r="AA55" s="65">
        <f t="shared" si="121"/>
        <v>745.1</v>
      </c>
      <c r="AB55" s="65">
        <f t="shared" si="121"/>
        <v>676.1</v>
      </c>
      <c r="AC55" s="65">
        <f t="shared" ref="AC55:AC86" si="124">ROUND($C55*$X55*AC$6,1)</f>
        <v>998</v>
      </c>
      <c r="AD55" s="65">
        <f t="shared" si="122"/>
        <v>1379.8</v>
      </c>
      <c r="AE55" s="56">
        <f t="shared" si="110"/>
        <v>445</v>
      </c>
      <c r="AF55" s="55">
        <f>RCFs!$C$13</f>
        <v>16.48</v>
      </c>
      <c r="AG55" s="61">
        <f t="shared" si="91"/>
        <v>734.3</v>
      </c>
      <c r="AH55" s="61">
        <f t="shared" si="91"/>
        <v>934.5</v>
      </c>
      <c r="AI55" s="61">
        <f t="shared" si="91"/>
        <v>1335</v>
      </c>
      <c r="AJ55" s="56">
        <f t="shared" si="92"/>
        <v>455.6</v>
      </c>
      <c r="AK55" s="141">
        <f>RCFs!$C$23</f>
        <v>16.876666666666669</v>
      </c>
      <c r="AL55" s="56">
        <f t="shared" si="93"/>
        <v>627.9</v>
      </c>
      <c r="AM55" s="141">
        <f>RCFs!$C$27</f>
        <v>23.256666666666668</v>
      </c>
      <c r="AN55" s="142">
        <f t="shared" si="94"/>
        <v>499.8</v>
      </c>
      <c r="AO55" s="141">
        <f>RCFs!$C$33</f>
        <v>18.513999999999999</v>
      </c>
      <c r="AP55" s="61">
        <f t="shared" si="95"/>
        <v>749.7</v>
      </c>
      <c r="AQ55" s="142">
        <f t="shared" si="96"/>
        <v>467.2</v>
      </c>
      <c r="AR55" s="141">
        <f>RCFs!$C$35</f>
        <v>17.306666666666668</v>
      </c>
      <c r="AS55" s="61">
        <f t="shared" si="97"/>
        <v>607.29999999999995</v>
      </c>
      <c r="AT55" s="61">
        <f t="shared" si="97"/>
        <v>677.4</v>
      </c>
      <c r="AU55" s="142">
        <f t="shared" si="108"/>
        <v>482.2</v>
      </c>
      <c r="AV55" s="141">
        <f>RCFs!$C$37</f>
        <v>17.86</v>
      </c>
      <c r="AW55" s="142">
        <f t="shared" si="102"/>
        <v>487.8</v>
      </c>
      <c r="AX55" s="141">
        <f>RCFs!$C$64</f>
        <v>18.07</v>
      </c>
      <c r="AY55" s="142">
        <f t="shared" si="108"/>
        <v>494.7</v>
      </c>
      <c r="AZ55" s="141">
        <f>RCFs!$C$39</f>
        <v>18.323333333333334</v>
      </c>
      <c r="BA55" s="141">
        <f t="shared" ref="BA55" si="125">ROUNDDOWN(BB55*$C55,1)</f>
        <v>474.6</v>
      </c>
      <c r="BB55" s="141">
        <f>RCFs!$C$41</f>
        <v>17.579000000000001</v>
      </c>
      <c r="BC55" s="84"/>
      <c r="BD55" s="84"/>
      <c r="BE55" s="84"/>
      <c r="BF55" s="84"/>
      <c r="BG55" s="84"/>
      <c r="BH55" s="84"/>
      <c r="BI55" s="84"/>
      <c r="BJ55" s="84"/>
      <c r="BK55" s="84"/>
      <c r="BL55" s="84"/>
      <c r="BM55" s="85"/>
      <c r="BN55" s="85"/>
      <c r="BO55" s="85"/>
      <c r="BP55" s="85"/>
      <c r="BQ55" s="85"/>
      <c r="BR55" s="85"/>
      <c r="BS55" s="85"/>
      <c r="BT55" s="85"/>
      <c r="BU55" s="85"/>
      <c r="BV55" s="85"/>
    </row>
    <row r="56" spans="1:74" s="86" customFormat="1" x14ac:dyDescent="0.2">
      <c r="A56" s="83">
        <v>1063</v>
      </c>
      <c r="B56" s="63" t="s">
        <v>41</v>
      </c>
      <c r="C56" s="64">
        <v>10</v>
      </c>
      <c r="D56" s="56">
        <f t="shared" si="87"/>
        <v>681.4</v>
      </c>
      <c r="E56" s="141">
        <f>RCFs!$C$43</f>
        <v>68.141894999999991</v>
      </c>
      <c r="F56" s="56">
        <f t="shared" si="99"/>
        <v>175.8</v>
      </c>
      <c r="G56" s="141">
        <f>RCFs!$C$5</f>
        <v>17.577000000000002</v>
      </c>
      <c r="H56" s="56">
        <f t="shared" si="103"/>
        <v>175.8</v>
      </c>
      <c r="I56" s="141">
        <f>RCFs!$C$5</f>
        <v>17.577000000000002</v>
      </c>
      <c r="J56" s="65">
        <f t="shared" si="118"/>
        <v>193.3</v>
      </c>
      <c r="K56" s="65">
        <f t="shared" si="118"/>
        <v>240.8</v>
      </c>
      <c r="L56" s="65">
        <f t="shared" si="118"/>
        <v>258.39999999999998</v>
      </c>
      <c r="M56" s="65">
        <f t="shared" si="118"/>
        <v>284.7</v>
      </c>
      <c r="N56" s="65">
        <f t="shared" si="118"/>
        <v>351.5</v>
      </c>
      <c r="O56" s="65">
        <f t="shared" si="118"/>
        <v>377.9</v>
      </c>
      <c r="P56" s="65">
        <f t="shared" si="118"/>
        <v>527.29999999999995</v>
      </c>
      <c r="Q56" s="56">
        <f t="shared" si="104"/>
        <v>176.6</v>
      </c>
      <c r="R56" s="55">
        <f>RCFs!$C$7</f>
        <v>17.66</v>
      </c>
      <c r="S56" s="65">
        <f t="shared" si="105"/>
        <v>229.5</v>
      </c>
      <c r="T56" s="65">
        <f t="shared" si="105"/>
        <v>264.89999999999998</v>
      </c>
      <c r="U56" s="56">
        <f t="shared" si="106"/>
        <v>170.3</v>
      </c>
      <c r="V56" s="55">
        <f>RCFs!$C$9</f>
        <v>17.033999999999999</v>
      </c>
      <c r="W56" s="56">
        <f t="shared" si="89"/>
        <v>170.3</v>
      </c>
      <c r="X56" s="141">
        <f t="shared" si="107"/>
        <v>17.033999999999999</v>
      </c>
      <c r="Y56" s="65">
        <f t="shared" si="121"/>
        <v>187.4</v>
      </c>
      <c r="Z56" s="65">
        <f t="shared" si="121"/>
        <v>233.4</v>
      </c>
      <c r="AA56" s="65">
        <f t="shared" si="121"/>
        <v>276</v>
      </c>
      <c r="AB56" s="65">
        <f t="shared" si="121"/>
        <v>250.4</v>
      </c>
      <c r="AC56" s="65">
        <f t="shared" si="124"/>
        <v>369.6</v>
      </c>
      <c r="AD56" s="65">
        <f t="shared" si="122"/>
        <v>511</v>
      </c>
      <c r="AE56" s="56">
        <f t="shared" si="110"/>
        <v>164.8</v>
      </c>
      <c r="AF56" s="55">
        <f>RCFs!$C$13</f>
        <v>16.48</v>
      </c>
      <c r="AG56" s="61">
        <f t="shared" si="91"/>
        <v>271.89999999999998</v>
      </c>
      <c r="AH56" s="61">
        <f t="shared" si="91"/>
        <v>346.1</v>
      </c>
      <c r="AI56" s="61">
        <f t="shared" si="91"/>
        <v>494.4</v>
      </c>
      <c r="AJ56" s="56">
        <f t="shared" si="92"/>
        <v>168.7</v>
      </c>
      <c r="AK56" s="141">
        <f>RCFs!$C$23</f>
        <v>16.876666666666669</v>
      </c>
      <c r="AL56" s="56">
        <f t="shared" si="93"/>
        <v>232.6</v>
      </c>
      <c r="AM56" s="141">
        <f>RCFs!$C$27</f>
        <v>23.256666666666668</v>
      </c>
      <c r="AN56" s="142">
        <f t="shared" si="94"/>
        <v>185.1</v>
      </c>
      <c r="AO56" s="141">
        <f>RCFs!$C$33</f>
        <v>18.513999999999999</v>
      </c>
      <c r="AP56" s="61">
        <f t="shared" si="95"/>
        <v>277.60000000000002</v>
      </c>
      <c r="AQ56" s="142">
        <f t="shared" si="96"/>
        <v>173</v>
      </c>
      <c r="AR56" s="141">
        <f>RCFs!$C$35</f>
        <v>17.306666666666668</v>
      </c>
      <c r="AS56" s="61">
        <f t="shared" si="97"/>
        <v>224.9</v>
      </c>
      <c r="AT56" s="61">
        <f t="shared" si="97"/>
        <v>250.8</v>
      </c>
      <c r="AU56" s="142">
        <f t="shared" si="108"/>
        <v>178.6</v>
      </c>
      <c r="AV56" s="141">
        <f>RCFs!$C$37</f>
        <v>17.86</v>
      </c>
      <c r="AW56" s="142">
        <f t="shared" si="102"/>
        <v>180.7</v>
      </c>
      <c r="AX56" s="141">
        <f>RCFs!$C$64</f>
        <v>18.07</v>
      </c>
      <c r="AY56" s="142">
        <f t="shared" si="108"/>
        <v>183.2</v>
      </c>
      <c r="AZ56" s="141">
        <f>RCFs!$C$39</f>
        <v>18.323333333333334</v>
      </c>
      <c r="BA56" s="141">
        <f t="shared" ref="BA56" si="126">ROUNDDOWN(BB56*$C56,1)</f>
        <v>175.7</v>
      </c>
      <c r="BB56" s="141">
        <f>RCFs!$C$41</f>
        <v>17.579000000000001</v>
      </c>
      <c r="BC56" s="84"/>
      <c r="BD56" s="84"/>
      <c r="BE56" s="84"/>
      <c r="BF56" s="84"/>
      <c r="BG56" s="84"/>
      <c r="BH56" s="84"/>
      <c r="BI56" s="84"/>
      <c r="BJ56" s="84"/>
      <c r="BK56" s="84"/>
      <c r="BL56" s="84"/>
      <c r="BM56" s="85"/>
      <c r="BN56" s="85"/>
      <c r="BO56" s="85"/>
      <c r="BP56" s="85"/>
      <c r="BQ56" s="85"/>
      <c r="BR56" s="85"/>
      <c r="BS56" s="85"/>
      <c r="BT56" s="85"/>
      <c r="BU56" s="85"/>
      <c r="BV56" s="85"/>
    </row>
    <row r="57" spans="1:74" s="86" customFormat="1" x14ac:dyDescent="0.2">
      <c r="A57" s="83">
        <v>1117</v>
      </c>
      <c r="B57" s="63" t="s">
        <v>42</v>
      </c>
      <c r="C57" s="64">
        <v>10</v>
      </c>
      <c r="D57" s="56">
        <f t="shared" si="87"/>
        <v>681.4</v>
      </c>
      <c r="E57" s="141">
        <f>RCFs!$C$43</f>
        <v>68.141894999999991</v>
      </c>
      <c r="F57" s="56">
        <f t="shared" si="99"/>
        <v>175.8</v>
      </c>
      <c r="G57" s="141">
        <f>RCFs!$C$5</f>
        <v>17.577000000000002</v>
      </c>
      <c r="H57" s="56">
        <f t="shared" si="103"/>
        <v>175.8</v>
      </c>
      <c r="I57" s="141">
        <f>RCFs!$C$5</f>
        <v>17.577000000000002</v>
      </c>
      <c r="J57" s="65">
        <f t="shared" si="118"/>
        <v>193.3</v>
      </c>
      <c r="K57" s="65">
        <f t="shared" si="118"/>
        <v>240.8</v>
      </c>
      <c r="L57" s="65">
        <f t="shared" si="118"/>
        <v>258.39999999999998</v>
      </c>
      <c r="M57" s="65">
        <f t="shared" si="118"/>
        <v>284.7</v>
      </c>
      <c r="N57" s="65">
        <f t="shared" si="118"/>
        <v>351.5</v>
      </c>
      <c r="O57" s="65">
        <f t="shared" si="118"/>
        <v>377.9</v>
      </c>
      <c r="P57" s="65">
        <f t="shared" si="118"/>
        <v>527.29999999999995</v>
      </c>
      <c r="Q57" s="56">
        <f t="shared" si="104"/>
        <v>176.6</v>
      </c>
      <c r="R57" s="55">
        <f>RCFs!$C$7</f>
        <v>17.66</v>
      </c>
      <c r="S57" s="65">
        <f t="shared" si="105"/>
        <v>229.5</v>
      </c>
      <c r="T57" s="65">
        <f t="shared" si="105"/>
        <v>264.89999999999998</v>
      </c>
      <c r="U57" s="56">
        <f t="shared" si="106"/>
        <v>170.3</v>
      </c>
      <c r="V57" s="55">
        <f>RCFs!$C$9</f>
        <v>17.033999999999999</v>
      </c>
      <c r="W57" s="56">
        <f t="shared" si="89"/>
        <v>170.3</v>
      </c>
      <c r="X57" s="141">
        <f t="shared" si="107"/>
        <v>17.033999999999999</v>
      </c>
      <c r="Y57" s="65">
        <f t="shared" si="121"/>
        <v>187.4</v>
      </c>
      <c r="Z57" s="65">
        <f t="shared" si="121"/>
        <v>233.4</v>
      </c>
      <c r="AA57" s="65">
        <f t="shared" si="121"/>
        <v>276</v>
      </c>
      <c r="AB57" s="65">
        <f t="shared" si="121"/>
        <v>250.4</v>
      </c>
      <c r="AC57" s="65">
        <f t="shared" si="124"/>
        <v>369.6</v>
      </c>
      <c r="AD57" s="65">
        <f t="shared" si="122"/>
        <v>511</v>
      </c>
      <c r="AE57" s="56">
        <f t="shared" si="110"/>
        <v>164.8</v>
      </c>
      <c r="AF57" s="55">
        <f>RCFs!$C$13</f>
        <v>16.48</v>
      </c>
      <c r="AG57" s="61">
        <f t="shared" si="91"/>
        <v>271.89999999999998</v>
      </c>
      <c r="AH57" s="61">
        <f t="shared" si="91"/>
        <v>346.1</v>
      </c>
      <c r="AI57" s="61">
        <f t="shared" si="91"/>
        <v>494.4</v>
      </c>
      <c r="AJ57" s="56">
        <f t="shared" si="92"/>
        <v>168.7</v>
      </c>
      <c r="AK57" s="141">
        <f>RCFs!$C$23</f>
        <v>16.876666666666669</v>
      </c>
      <c r="AL57" s="56">
        <f t="shared" si="93"/>
        <v>232.6</v>
      </c>
      <c r="AM57" s="141">
        <f>RCFs!$C$27</f>
        <v>23.256666666666668</v>
      </c>
      <c r="AN57" s="142">
        <f t="shared" si="94"/>
        <v>185.1</v>
      </c>
      <c r="AO57" s="141">
        <f>RCFs!$C$33</f>
        <v>18.513999999999999</v>
      </c>
      <c r="AP57" s="61">
        <f t="shared" si="95"/>
        <v>277.60000000000002</v>
      </c>
      <c r="AQ57" s="142">
        <f t="shared" si="96"/>
        <v>173</v>
      </c>
      <c r="AR57" s="141">
        <f>RCFs!$C$35</f>
        <v>17.306666666666668</v>
      </c>
      <c r="AS57" s="61">
        <f t="shared" si="97"/>
        <v>224.9</v>
      </c>
      <c r="AT57" s="61">
        <f t="shared" si="97"/>
        <v>250.8</v>
      </c>
      <c r="AU57" s="142">
        <f t="shared" si="108"/>
        <v>178.6</v>
      </c>
      <c r="AV57" s="141">
        <f>RCFs!$C$37</f>
        <v>17.86</v>
      </c>
      <c r="AW57" s="142">
        <f t="shared" si="102"/>
        <v>180.7</v>
      </c>
      <c r="AX57" s="141">
        <f>RCFs!$C$64</f>
        <v>18.07</v>
      </c>
      <c r="AY57" s="142">
        <f t="shared" si="108"/>
        <v>183.2</v>
      </c>
      <c r="AZ57" s="141">
        <f>RCFs!$C$39</f>
        <v>18.323333333333334</v>
      </c>
      <c r="BA57" s="141">
        <f t="shared" ref="BA57" si="127">ROUNDDOWN(BB57*$C57,1)</f>
        <v>175.7</v>
      </c>
      <c r="BB57" s="141">
        <f>RCFs!$C$41</f>
        <v>17.579000000000001</v>
      </c>
      <c r="BC57" s="84"/>
      <c r="BD57" s="84"/>
      <c r="BE57" s="84"/>
      <c r="BF57" s="84"/>
      <c r="BG57" s="84"/>
      <c r="BH57" s="84"/>
      <c r="BI57" s="84"/>
      <c r="BJ57" s="84"/>
      <c r="BK57" s="84"/>
      <c r="BL57" s="84"/>
      <c r="BM57" s="85"/>
      <c r="BN57" s="85"/>
      <c r="BO57" s="85"/>
      <c r="BP57" s="85"/>
      <c r="BQ57" s="85"/>
      <c r="BR57" s="85"/>
      <c r="BS57" s="85"/>
      <c r="BT57" s="85"/>
      <c r="BU57" s="85"/>
      <c r="BV57" s="85"/>
    </row>
    <row r="58" spans="1:74" s="86" customFormat="1" x14ac:dyDescent="0.2">
      <c r="A58" s="88">
        <v>1132</v>
      </c>
      <c r="B58" s="63" t="s">
        <v>139</v>
      </c>
      <c r="C58" s="64">
        <v>65</v>
      </c>
      <c r="D58" s="56">
        <f t="shared" si="87"/>
        <v>4429.2</v>
      </c>
      <c r="E58" s="141">
        <f>RCFs!$C$43</f>
        <v>68.141894999999991</v>
      </c>
      <c r="F58" s="56">
        <f t="shared" si="99"/>
        <v>1142.5</v>
      </c>
      <c r="G58" s="141">
        <f>RCFs!$C$5</f>
        <v>17.577000000000002</v>
      </c>
      <c r="H58" s="56">
        <f t="shared" si="103"/>
        <v>1142.5</v>
      </c>
      <c r="I58" s="141">
        <f>RCFs!$C$5</f>
        <v>17.577000000000002</v>
      </c>
      <c r="J58" s="65">
        <f t="shared" si="118"/>
        <v>1256.8</v>
      </c>
      <c r="K58" s="65">
        <f t="shared" si="118"/>
        <v>1565.2</v>
      </c>
      <c r="L58" s="65">
        <f t="shared" si="118"/>
        <v>1679.5</v>
      </c>
      <c r="M58" s="65">
        <f t="shared" si="118"/>
        <v>1850.9</v>
      </c>
      <c r="N58" s="65">
        <f t="shared" si="118"/>
        <v>2285</v>
      </c>
      <c r="O58" s="65">
        <f t="shared" si="118"/>
        <v>2456.4</v>
      </c>
      <c r="P58" s="65">
        <f t="shared" si="118"/>
        <v>3427.5</v>
      </c>
      <c r="Q58" s="56">
        <f t="shared" si="104"/>
        <v>1147.9000000000001</v>
      </c>
      <c r="R58" s="55">
        <f>RCFs!$C$7</f>
        <v>17.66</v>
      </c>
      <c r="S58" s="65">
        <f t="shared" si="105"/>
        <v>1492.2</v>
      </c>
      <c r="T58" s="65">
        <f t="shared" si="105"/>
        <v>1721.8</v>
      </c>
      <c r="U58" s="56">
        <f t="shared" si="106"/>
        <v>1107.2</v>
      </c>
      <c r="V58" s="55">
        <f>RCFs!$C$9</f>
        <v>17.033999999999999</v>
      </c>
      <c r="W58" s="56">
        <f t="shared" si="89"/>
        <v>1107.2</v>
      </c>
      <c r="X58" s="141">
        <f t="shared" si="107"/>
        <v>17.033999999999999</v>
      </c>
      <c r="Y58" s="65">
        <f t="shared" si="121"/>
        <v>1217.9000000000001</v>
      </c>
      <c r="Z58" s="65">
        <f t="shared" si="121"/>
        <v>1516.9</v>
      </c>
      <c r="AA58" s="65">
        <f t="shared" si="121"/>
        <v>1793.7</v>
      </c>
      <c r="AB58" s="65">
        <f t="shared" si="121"/>
        <v>1627.6</v>
      </c>
      <c r="AC58" s="65">
        <f t="shared" si="124"/>
        <v>2402.6</v>
      </c>
      <c r="AD58" s="65">
        <f t="shared" si="122"/>
        <v>3321.6</v>
      </c>
      <c r="AE58" s="56">
        <f t="shared" si="110"/>
        <v>1071.2</v>
      </c>
      <c r="AF58" s="55">
        <f>RCFs!$C$13</f>
        <v>16.48</v>
      </c>
      <c r="AG58" s="61">
        <f t="shared" si="91"/>
        <v>1767.5</v>
      </c>
      <c r="AH58" s="61">
        <f t="shared" si="91"/>
        <v>2249.5</v>
      </c>
      <c r="AI58" s="61">
        <f t="shared" si="91"/>
        <v>3213.6</v>
      </c>
      <c r="AJ58" s="56">
        <f t="shared" si="92"/>
        <v>1096.9000000000001</v>
      </c>
      <c r="AK58" s="141">
        <f>RCFs!$C$23</f>
        <v>16.876666666666669</v>
      </c>
      <c r="AL58" s="56">
        <f t="shared" si="93"/>
        <v>1511.7</v>
      </c>
      <c r="AM58" s="141">
        <f>RCFs!$C$27</f>
        <v>23.256666666666668</v>
      </c>
      <c r="AN58" s="142">
        <f t="shared" si="94"/>
        <v>1203.4000000000001</v>
      </c>
      <c r="AO58" s="141">
        <f>RCFs!$C$33</f>
        <v>18.513999999999999</v>
      </c>
      <c r="AP58" s="61">
        <f t="shared" si="95"/>
        <v>1805.1</v>
      </c>
      <c r="AQ58" s="142">
        <f t="shared" si="96"/>
        <v>1124.9000000000001</v>
      </c>
      <c r="AR58" s="141">
        <f>RCFs!$C$35</f>
        <v>17.306666666666668</v>
      </c>
      <c r="AS58" s="61">
        <f t="shared" si="97"/>
        <v>1462.3</v>
      </c>
      <c r="AT58" s="61">
        <f t="shared" si="97"/>
        <v>1631.1</v>
      </c>
      <c r="AU58" s="142">
        <f t="shared" si="108"/>
        <v>1160.9000000000001</v>
      </c>
      <c r="AV58" s="141">
        <f>RCFs!$C$37</f>
        <v>17.86</v>
      </c>
      <c r="AW58" s="142">
        <f t="shared" si="102"/>
        <v>1174.5</v>
      </c>
      <c r="AX58" s="141">
        <f>RCFs!$C$64</f>
        <v>18.07</v>
      </c>
      <c r="AY58" s="142">
        <f t="shared" si="108"/>
        <v>1191</v>
      </c>
      <c r="AZ58" s="141">
        <f>RCFs!$C$39</f>
        <v>18.323333333333334</v>
      </c>
      <c r="BA58" s="141">
        <f t="shared" ref="BA58" si="128">ROUNDDOWN(BB58*$C58,1)</f>
        <v>1142.5999999999999</v>
      </c>
      <c r="BB58" s="141">
        <f>RCFs!$C$41</f>
        <v>17.579000000000001</v>
      </c>
      <c r="BC58" s="84"/>
      <c r="BD58" s="84"/>
      <c r="BE58" s="84"/>
      <c r="BF58" s="84"/>
      <c r="BG58" s="84"/>
      <c r="BH58" s="84"/>
      <c r="BI58" s="84"/>
      <c r="BJ58" s="84"/>
      <c r="BK58" s="84"/>
      <c r="BL58" s="84"/>
      <c r="BM58" s="85"/>
      <c r="BN58" s="85"/>
      <c r="BO58" s="85"/>
      <c r="BP58" s="85"/>
      <c r="BQ58" s="85"/>
      <c r="BR58" s="85"/>
      <c r="BS58" s="85"/>
      <c r="BT58" s="85"/>
      <c r="BU58" s="85"/>
      <c r="BV58" s="85"/>
    </row>
    <row r="59" spans="1:74" s="86" customFormat="1" x14ac:dyDescent="0.2">
      <c r="A59" s="83">
        <v>1134</v>
      </c>
      <c r="B59" s="63" t="s">
        <v>43</v>
      </c>
      <c r="C59" s="64">
        <v>75</v>
      </c>
      <c r="D59" s="56">
        <f t="shared" si="87"/>
        <v>5110.6000000000004</v>
      </c>
      <c r="E59" s="141">
        <f>RCFs!$C$43</f>
        <v>68.141894999999991</v>
      </c>
      <c r="F59" s="56">
        <f t="shared" si="99"/>
        <v>1318.3</v>
      </c>
      <c r="G59" s="141">
        <f>RCFs!$C$5</f>
        <v>17.577000000000002</v>
      </c>
      <c r="H59" s="56">
        <f t="shared" si="103"/>
        <v>1318.3</v>
      </c>
      <c r="I59" s="141">
        <f>RCFs!$C$5</f>
        <v>17.577000000000002</v>
      </c>
      <c r="J59" s="65">
        <f t="shared" si="118"/>
        <v>1450.1</v>
      </c>
      <c r="K59" s="65">
        <f t="shared" si="118"/>
        <v>1806</v>
      </c>
      <c r="L59" s="65">
        <f t="shared" si="118"/>
        <v>1937.9</v>
      </c>
      <c r="M59" s="65">
        <f t="shared" si="118"/>
        <v>2135.6</v>
      </c>
      <c r="N59" s="65">
        <f t="shared" si="118"/>
        <v>2636.6</v>
      </c>
      <c r="O59" s="65">
        <f t="shared" si="118"/>
        <v>2834.3</v>
      </c>
      <c r="P59" s="65">
        <f t="shared" si="118"/>
        <v>3954.8</v>
      </c>
      <c r="Q59" s="56">
        <f t="shared" si="104"/>
        <v>1324.5</v>
      </c>
      <c r="R59" s="55">
        <f>RCFs!$C$7</f>
        <v>17.66</v>
      </c>
      <c r="S59" s="65">
        <f t="shared" si="105"/>
        <v>1721.8</v>
      </c>
      <c r="T59" s="65">
        <f t="shared" si="105"/>
        <v>1986.7</v>
      </c>
      <c r="U59" s="56">
        <f t="shared" si="106"/>
        <v>1277.5</v>
      </c>
      <c r="V59" s="55">
        <f>RCFs!$C$9</f>
        <v>17.033999999999999</v>
      </c>
      <c r="W59" s="56">
        <f t="shared" si="89"/>
        <v>1277.5999999999999</v>
      </c>
      <c r="X59" s="141">
        <f t="shared" si="107"/>
        <v>17.033999999999999</v>
      </c>
      <c r="Y59" s="65">
        <f t="shared" si="121"/>
        <v>1405.3</v>
      </c>
      <c r="Z59" s="65">
        <f t="shared" si="121"/>
        <v>1750.2</v>
      </c>
      <c r="AA59" s="65">
        <f t="shared" si="121"/>
        <v>2069.6</v>
      </c>
      <c r="AB59" s="65">
        <f t="shared" si="121"/>
        <v>1878</v>
      </c>
      <c r="AC59" s="65">
        <f t="shared" si="124"/>
        <v>2772.3</v>
      </c>
      <c r="AD59" s="65">
        <f t="shared" si="122"/>
        <v>3832.7</v>
      </c>
      <c r="AE59" s="56">
        <f t="shared" si="110"/>
        <v>1236</v>
      </c>
      <c r="AF59" s="55">
        <f>RCFs!$C$13</f>
        <v>16.48</v>
      </c>
      <c r="AG59" s="61">
        <f t="shared" si="91"/>
        <v>2039.4</v>
      </c>
      <c r="AH59" s="61">
        <f t="shared" si="91"/>
        <v>2595.6</v>
      </c>
      <c r="AI59" s="61">
        <f t="shared" si="91"/>
        <v>3708</v>
      </c>
      <c r="AJ59" s="56">
        <f t="shared" si="92"/>
        <v>1265.7</v>
      </c>
      <c r="AK59" s="141">
        <f>RCFs!$C$23</f>
        <v>16.876666666666669</v>
      </c>
      <c r="AL59" s="56">
        <f t="shared" si="93"/>
        <v>1744.3</v>
      </c>
      <c r="AM59" s="141">
        <f>RCFs!$C$27</f>
        <v>23.256666666666668</v>
      </c>
      <c r="AN59" s="142">
        <f t="shared" si="94"/>
        <v>1388.5</v>
      </c>
      <c r="AO59" s="141">
        <f>RCFs!$C$33</f>
        <v>18.513999999999999</v>
      </c>
      <c r="AP59" s="61">
        <f t="shared" si="95"/>
        <v>2082.6999999999998</v>
      </c>
      <c r="AQ59" s="142">
        <f t="shared" si="96"/>
        <v>1298</v>
      </c>
      <c r="AR59" s="141">
        <f>RCFs!$C$35</f>
        <v>17.306666666666668</v>
      </c>
      <c r="AS59" s="61">
        <f t="shared" ref="AS59:AT112" si="129">ROUNDDOWN($AQ59*AS$6,1)</f>
        <v>1687.4</v>
      </c>
      <c r="AT59" s="61">
        <f t="shared" si="129"/>
        <v>1882.1</v>
      </c>
      <c r="AU59" s="142">
        <f t="shared" si="108"/>
        <v>1339.5</v>
      </c>
      <c r="AV59" s="141">
        <f>RCFs!$C$37</f>
        <v>17.86</v>
      </c>
      <c r="AW59" s="142">
        <f t="shared" si="102"/>
        <v>1355.2</v>
      </c>
      <c r="AX59" s="141">
        <f>RCFs!$C$64</f>
        <v>18.07</v>
      </c>
      <c r="AY59" s="142">
        <f t="shared" si="108"/>
        <v>1374.2</v>
      </c>
      <c r="AZ59" s="141">
        <f>RCFs!$C$39</f>
        <v>18.323333333333334</v>
      </c>
      <c r="BA59" s="141">
        <f t="shared" ref="BA59" si="130">ROUNDDOWN(BB59*$C59,1)</f>
        <v>1318.4</v>
      </c>
      <c r="BB59" s="141">
        <f>RCFs!$C$41</f>
        <v>17.579000000000001</v>
      </c>
      <c r="BC59" s="84"/>
      <c r="BD59" s="84"/>
      <c r="BE59" s="84"/>
      <c r="BF59" s="84"/>
      <c r="BG59" s="84"/>
      <c r="BH59" s="84"/>
      <c r="BI59" s="84"/>
      <c r="BJ59" s="84"/>
      <c r="BK59" s="84"/>
      <c r="BL59" s="84"/>
      <c r="BM59" s="85"/>
      <c r="BN59" s="85"/>
      <c r="BO59" s="85"/>
      <c r="BP59" s="85"/>
      <c r="BQ59" s="85"/>
      <c r="BR59" s="85"/>
      <c r="BS59" s="85"/>
      <c r="BT59" s="85"/>
      <c r="BU59" s="85"/>
      <c r="BV59" s="85"/>
    </row>
    <row r="60" spans="1:74" s="86" customFormat="1" x14ac:dyDescent="0.2">
      <c r="A60" s="83">
        <v>1136</v>
      </c>
      <c r="B60" s="63" t="s">
        <v>44</v>
      </c>
      <c r="C60" s="64">
        <v>12</v>
      </c>
      <c r="D60" s="56">
        <f t="shared" si="87"/>
        <v>817.7</v>
      </c>
      <c r="E60" s="141">
        <f>RCFs!$C$43</f>
        <v>68.141894999999991</v>
      </c>
      <c r="F60" s="56">
        <f t="shared" si="99"/>
        <v>210.9</v>
      </c>
      <c r="G60" s="141">
        <f>RCFs!$C$5</f>
        <v>17.577000000000002</v>
      </c>
      <c r="H60" s="56">
        <f t="shared" si="103"/>
        <v>210.9</v>
      </c>
      <c r="I60" s="141">
        <f>RCFs!$C$5</f>
        <v>17.577000000000002</v>
      </c>
      <c r="J60" s="65">
        <f t="shared" si="118"/>
        <v>232</v>
      </c>
      <c r="K60" s="65">
        <f t="shared" si="118"/>
        <v>289</v>
      </c>
      <c r="L60" s="65">
        <f t="shared" si="118"/>
        <v>310.10000000000002</v>
      </c>
      <c r="M60" s="65">
        <f t="shared" si="118"/>
        <v>341.7</v>
      </c>
      <c r="N60" s="65">
        <f t="shared" si="118"/>
        <v>421.8</v>
      </c>
      <c r="O60" s="65">
        <f t="shared" si="118"/>
        <v>453.5</v>
      </c>
      <c r="P60" s="65">
        <f t="shared" si="118"/>
        <v>632.79999999999995</v>
      </c>
      <c r="Q60" s="56">
        <f t="shared" si="104"/>
        <v>211.9</v>
      </c>
      <c r="R60" s="55">
        <f>RCFs!$C$7</f>
        <v>17.66</v>
      </c>
      <c r="S60" s="65">
        <f t="shared" ref="S60:T112" si="131">ROUNDDOWN($Q60*S$6,1)</f>
        <v>275.39999999999998</v>
      </c>
      <c r="T60" s="65">
        <f t="shared" si="131"/>
        <v>317.8</v>
      </c>
      <c r="U60" s="56">
        <f t="shared" si="106"/>
        <v>204.4</v>
      </c>
      <c r="V60" s="55">
        <f>RCFs!$C$9</f>
        <v>17.033999999999999</v>
      </c>
      <c r="W60" s="56">
        <f t="shared" si="89"/>
        <v>204.4</v>
      </c>
      <c r="X60" s="141">
        <f t="shared" si="107"/>
        <v>17.033999999999999</v>
      </c>
      <c r="Y60" s="65">
        <f t="shared" si="121"/>
        <v>224.8</v>
      </c>
      <c r="Z60" s="65">
        <f t="shared" si="121"/>
        <v>280</v>
      </c>
      <c r="AA60" s="65">
        <f t="shared" si="121"/>
        <v>331.1</v>
      </c>
      <c r="AB60" s="65">
        <f t="shared" si="121"/>
        <v>300.5</v>
      </c>
      <c r="AC60" s="65">
        <f t="shared" si="124"/>
        <v>443.6</v>
      </c>
      <c r="AD60" s="65">
        <f t="shared" si="122"/>
        <v>613.20000000000005</v>
      </c>
      <c r="AE60" s="56">
        <f t="shared" si="110"/>
        <v>197.8</v>
      </c>
      <c r="AF60" s="55">
        <f>RCFs!$C$13</f>
        <v>16.48</v>
      </c>
      <c r="AG60" s="61">
        <f t="shared" si="91"/>
        <v>326.39999999999998</v>
      </c>
      <c r="AH60" s="61">
        <f t="shared" si="91"/>
        <v>415.4</v>
      </c>
      <c r="AI60" s="61">
        <f t="shared" si="91"/>
        <v>593.4</v>
      </c>
      <c r="AJ60" s="56">
        <f t="shared" si="92"/>
        <v>202.5</v>
      </c>
      <c r="AK60" s="141">
        <f>RCFs!$C$23</f>
        <v>16.876666666666669</v>
      </c>
      <c r="AL60" s="56">
        <f t="shared" si="93"/>
        <v>279.10000000000002</v>
      </c>
      <c r="AM60" s="141">
        <f>RCFs!$C$27</f>
        <v>23.256666666666668</v>
      </c>
      <c r="AN60" s="142">
        <f t="shared" si="94"/>
        <v>222.1</v>
      </c>
      <c r="AO60" s="141">
        <f>RCFs!$C$33</f>
        <v>18.513999999999999</v>
      </c>
      <c r="AP60" s="61">
        <f t="shared" si="95"/>
        <v>333.1</v>
      </c>
      <c r="AQ60" s="142">
        <f t="shared" si="96"/>
        <v>207.6</v>
      </c>
      <c r="AR60" s="141">
        <f>RCFs!$C$35</f>
        <v>17.306666666666668</v>
      </c>
      <c r="AS60" s="61">
        <f t="shared" si="129"/>
        <v>269.8</v>
      </c>
      <c r="AT60" s="61">
        <f t="shared" si="129"/>
        <v>301</v>
      </c>
      <c r="AU60" s="142">
        <f t="shared" si="108"/>
        <v>214.3</v>
      </c>
      <c r="AV60" s="141">
        <f>RCFs!$C$37</f>
        <v>17.86</v>
      </c>
      <c r="AW60" s="142">
        <f t="shared" si="102"/>
        <v>216.8</v>
      </c>
      <c r="AX60" s="141">
        <f>RCFs!$C$64</f>
        <v>18.07</v>
      </c>
      <c r="AY60" s="142">
        <f t="shared" si="108"/>
        <v>219.8</v>
      </c>
      <c r="AZ60" s="141">
        <f>RCFs!$C$39</f>
        <v>18.323333333333334</v>
      </c>
      <c r="BA60" s="141">
        <f t="shared" ref="BA60" si="132">ROUNDDOWN(BB60*$C60,1)</f>
        <v>210.9</v>
      </c>
      <c r="BB60" s="141">
        <f>RCFs!$C$41</f>
        <v>17.579000000000001</v>
      </c>
      <c r="BC60" s="84"/>
      <c r="BD60" s="84"/>
      <c r="BE60" s="84"/>
      <c r="BF60" s="84"/>
      <c r="BG60" s="84"/>
      <c r="BH60" s="84"/>
      <c r="BI60" s="84"/>
      <c r="BJ60" s="84"/>
      <c r="BK60" s="84"/>
      <c r="BL60" s="84"/>
      <c r="BM60" s="85"/>
      <c r="BN60" s="85"/>
      <c r="BO60" s="85"/>
      <c r="BP60" s="85"/>
      <c r="BQ60" s="85"/>
      <c r="BR60" s="85"/>
      <c r="BS60" s="85"/>
      <c r="BT60" s="85"/>
      <c r="BU60" s="85"/>
      <c r="BV60" s="85"/>
    </row>
    <row r="61" spans="1:74" s="86" customFormat="1" x14ac:dyDescent="0.2">
      <c r="A61" s="88">
        <v>1137</v>
      </c>
      <c r="B61" s="63" t="s">
        <v>140</v>
      </c>
      <c r="C61" s="64">
        <v>8</v>
      </c>
      <c r="D61" s="56">
        <f t="shared" si="87"/>
        <v>545.1</v>
      </c>
      <c r="E61" s="141">
        <f>RCFs!$C$43</f>
        <v>68.141894999999991</v>
      </c>
      <c r="F61" s="56">
        <f t="shared" si="99"/>
        <v>140.6</v>
      </c>
      <c r="G61" s="141">
        <f>RCFs!$C$5</f>
        <v>17.577000000000002</v>
      </c>
      <c r="H61" s="56">
        <f t="shared" si="103"/>
        <v>140.6</v>
      </c>
      <c r="I61" s="141">
        <f>RCFs!$C$5</f>
        <v>17.577000000000002</v>
      </c>
      <c r="J61" s="65">
        <f t="shared" si="118"/>
        <v>154.69999999999999</v>
      </c>
      <c r="K61" s="65">
        <f t="shared" si="118"/>
        <v>192.6</v>
      </c>
      <c r="L61" s="65">
        <f t="shared" si="118"/>
        <v>206.7</v>
      </c>
      <c r="M61" s="65">
        <f t="shared" si="118"/>
        <v>227.8</v>
      </c>
      <c r="N61" s="65">
        <f t="shared" si="118"/>
        <v>281.2</v>
      </c>
      <c r="O61" s="65">
        <f t="shared" si="118"/>
        <v>302.3</v>
      </c>
      <c r="P61" s="65">
        <f t="shared" si="118"/>
        <v>421.8</v>
      </c>
      <c r="Q61" s="56">
        <f t="shared" si="104"/>
        <v>141.30000000000001</v>
      </c>
      <c r="R61" s="55">
        <f>RCFs!$C$7</f>
        <v>17.66</v>
      </c>
      <c r="S61" s="65">
        <f t="shared" si="131"/>
        <v>183.6</v>
      </c>
      <c r="T61" s="65">
        <f t="shared" si="131"/>
        <v>211.9</v>
      </c>
      <c r="U61" s="56">
        <f t="shared" si="106"/>
        <v>136.19999999999999</v>
      </c>
      <c r="V61" s="55">
        <f>RCFs!$C$9</f>
        <v>17.033999999999999</v>
      </c>
      <c r="W61" s="56">
        <f t="shared" si="89"/>
        <v>136.30000000000001</v>
      </c>
      <c r="X61" s="141">
        <f t="shared" si="107"/>
        <v>17.033999999999999</v>
      </c>
      <c r="Y61" s="65">
        <f t="shared" si="121"/>
        <v>149.9</v>
      </c>
      <c r="Z61" s="65">
        <f t="shared" si="121"/>
        <v>186.7</v>
      </c>
      <c r="AA61" s="65">
        <f t="shared" si="121"/>
        <v>220.8</v>
      </c>
      <c r="AB61" s="65">
        <f t="shared" si="121"/>
        <v>200.3</v>
      </c>
      <c r="AC61" s="65">
        <f t="shared" si="124"/>
        <v>295.7</v>
      </c>
      <c r="AD61" s="65">
        <f t="shared" si="122"/>
        <v>408.8</v>
      </c>
      <c r="AE61" s="56">
        <f t="shared" si="110"/>
        <v>131.80000000000001</v>
      </c>
      <c r="AF61" s="55">
        <f>RCFs!$C$13</f>
        <v>16.48</v>
      </c>
      <c r="AG61" s="61">
        <f t="shared" si="91"/>
        <v>217.5</v>
      </c>
      <c r="AH61" s="61">
        <f t="shared" si="91"/>
        <v>276.8</v>
      </c>
      <c r="AI61" s="61">
        <f t="shared" si="91"/>
        <v>395.4</v>
      </c>
      <c r="AJ61" s="56">
        <f t="shared" si="92"/>
        <v>135</v>
      </c>
      <c r="AK61" s="141">
        <f>RCFs!$C$23</f>
        <v>16.876666666666669</v>
      </c>
      <c r="AL61" s="56">
        <f t="shared" si="93"/>
        <v>186.1</v>
      </c>
      <c r="AM61" s="141">
        <f>RCFs!$C$27</f>
        <v>23.256666666666668</v>
      </c>
      <c r="AN61" s="142">
        <f t="shared" si="94"/>
        <v>148.1</v>
      </c>
      <c r="AO61" s="141">
        <f>RCFs!$C$33</f>
        <v>18.513999999999999</v>
      </c>
      <c r="AP61" s="61">
        <f t="shared" si="95"/>
        <v>222.1</v>
      </c>
      <c r="AQ61" s="142">
        <f t="shared" si="96"/>
        <v>138.4</v>
      </c>
      <c r="AR61" s="141">
        <f>RCFs!$C$35</f>
        <v>17.306666666666668</v>
      </c>
      <c r="AS61" s="61">
        <f t="shared" si="129"/>
        <v>179.9</v>
      </c>
      <c r="AT61" s="61">
        <f t="shared" si="129"/>
        <v>200.6</v>
      </c>
      <c r="AU61" s="142">
        <f t="shared" si="108"/>
        <v>142.80000000000001</v>
      </c>
      <c r="AV61" s="141">
        <f>RCFs!$C$37</f>
        <v>17.86</v>
      </c>
      <c r="AW61" s="142">
        <f t="shared" si="102"/>
        <v>144.5</v>
      </c>
      <c r="AX61" s="141">
        <f>RCFs!$C$64</f>
        <v>18.07</v>
      </c>
      <c r="AY61" s="142">
        <f t="shared" si="108"/>
        <v>146.5</v>
      </c>
      <c r="AZ61" s="141">
        <f>RCFs!$C$39</f>
        <v>18.323333333333334</v>
      </c>
      <c r="BA61" s="141">
        <f t="shared" ref="BA61" si="133">ROUNDDOWN(BB61*$C61,1)</f>
        <v>140.6</v>
      </c>
      <c r="BB61" s="141">
        <f>RCFs!$C$41</f>
        <v>17.579000000000001</v>
      </c>
      <c r="BC61" s="84"/>
      <c r="BD61" s="84"/>
      <c r="BE61" s="84"/>
      <c r="BF61" s="84"/>
      <c r="BG61" s="84"/>
      <c r="BH61" s="84"/>
      <c r="BI61" s="84"/>
      <c r="BJ61" s="84"/>
      <c r="BK61" s="84"/>
      <c r="BL61" s="84"/>
      <c r="BM61" s="85"/>
      <c r="BN61" s="85"/>
      <c r="BO61" s="85"/>
      <c r="BP61" s="85"/>
      <c r="BQ61" s="85"/>
      <c r="BR61" s="85"/>
      <c r="BS61" s="85"/>
      <c r="BT61" s="85"/>
      <c r="BU61" s="85"/>
      <c r="BV61" s="85"/>
    </row>
    <row r="62" spans="1:74" s="86" customFormat="1" x14ac:dyDescent="0.2">
      <c r="A62" s="83">
        <v>1141</v>
      </c>
      <c r="B62" s="63" t="s">
        <v>45</v>
      </c>
      <c r="C62" s="64">
        <v>50</v>
      </c>
      <c r="D62" s="56">
        <f t="shared" si="87"/>
        <v>3407.1</v>
      </c>
      <c r="E62" s="141">
        <f>RCFs!$C$43</f>
        <v>68.141894999999991</v>
      </c>
      <c r="F62" s="56">
        <f t="shared" si="99"/>
        <v>878.9</v>
      </c>
      <c r="G62" s="141">
        <f>RCFs!$C$5</f>
        <v>17.577000000000002</v>
      </c>
      <c r="H62" s="56">
        <f t="shared" si="103"/>
        <v>878.9</v>
      </c>
      <c r="I62" s="141">
        <f>RCFs!$C$5</f>
        <v>17.577000000000002</v>
      </c>
      <c r="J62" s="65">
        <f t="shared" ref="J62:P71" si="134">ROUND($C62*$I62*J$6,1)</f>
        <v>966.7</v>
      </c>
      <c r="K62" s="65">
        <f t="shared" si="134"/>
        <v>1204</v>
      </c>
      <c r="L62" s="65">
        <f t="shared" si="134"/>
        <v>1291.9000000000001</v>
      </c>
      <c r="M62" s="65">
        <f t="shared" si="134"/>
        <v>1423.7</v>
      </c>
      <c r="N62" s="65">
        <f t="shared" si="134"/>
        <v>1757.7</v>
      </c>
      <c r="O62" s="65">
        <f t="shared" si="134"/>
        <v>1889.5</v>
      </c>
      <c r="P62" s="65">
        <f t="shared" si="134"/>
        <v>2636.6</v>
      </c>
      <c r="Q62" s="56">
        <f t="shared" si="104"/>
        <v>883</v>
      </c>
      <c r="R62" s="55">
        <f>RCFs!$C$7</f>
        <v>17.66</v>
      </c>
      <c r="S62" s="65">
        <f t="shared" si="131"/>
        <v>1147.9000000000001</v>
      </c>
      <c r="T62" s="65">
        <f t="shared" si="131"/>
        <v>1324.5</v>
      </c>
      <c r="U62" s="56">
        <f t="shared" si="106"/>
        <v>851.7</v>
      </c>
      <c r="V62" s="55">
        <f>RCFs!$C$9</f>
        <v>17.033999999999999</v>
      </c>
      <c r="W62" s="56">
        <f t="shared" si="89"/>
        <v>851.7</v>
      </c>
      <c r="X62" s="141">
        <f t="shared" si="107"/>
        <v>17.033999999999999</v>
      </c>
      <c r="Y62" s="65">
        <f t="shared" si="121"/>
        <v>936.9</v>
      </c>
      <c r="Z62" s="65">
        <f t="shared" si="121"/>
        <v>1166.8</v>
      </c>
      <c r="AA62" s="65">
        <f t="shared" si="121"/>
        <v>1379.8</v>
      </c>
      <c r="AB62" s="65">
        <f t="shared" si="121"/>
        <v>1252</v>
      </c>
      <c r="AC62" s="65">
        <f t="shared" si="124"/>
        <v>1848.2</v>
      </c>
      <c r="AD62" s="65">
        <f t="shared" si="122"/>
        <v>2555.1</v>
      </c>
      <c r="AE62" s="56">
        <f t="shared" si="110"/>
        <v>824</v>
      </c>
      <c r="AF62" s="55">
        <f>RCFs!$C$13</f>
        <v>16.48</v>
      </c>
      <c r="AG62" s="61">
        <f t="shared" si="91"/>
        <v>1359.6</v>
      </c>
      <c r="AH62" s="61">
        <f t="shared" si="91"/>
        <v>1730.4</v>
      </c>
      <c r="AI62" s="61">
        <f t="shared" si="91"/>
        <v>2472</v>
      </c>
      <c r="AJ62" s="56">
        <f t="shared" si="92"/>
        <v>843.8</v>
      </c>
      <c r="AK62" s="141">
        <f>RCFs!$C$23</f>
        <v>16.876666666666669</v>
      </c>
      <c r="AL62" s="56">
        <f t="shared" si="93"/>
        <v>1162.8</v>
      </c>
      <c r="AM62" s="141">
        <f>RCFs!$C$27</f>
        <v>23.256666666666668</v>
      </c>
      <c r="AN62" s="142">
        <f t="shared" si="94"/>
        <v>925.7</v>
      </c>
      <c r="AO62" s="141">
        <f>RCFs!$C$33</f>
        <v>18.513999999999999</v>
      </c>
      <c r="AP62" s="61">
        <f t="shared" si="95"/>
        <v>1388.5</v>
      </c>
      <c r="AQ62" s="142">
        <f t="shared" si="96"/>
        <v>865.3</v>
      </c>
      <c r="AR62" s="141">
        <f>RCFs!$C$35</f>
        <v>17.306666666666668</v>
      </c>
      <c r="AS62" s="61">
        <f t="shared" si="129"/>
        <v>1124.8</v>
      </c>
      <c r="AT62" s="61">
        <f t="shared" si="129"/>
        <v>1254.5999999999999</v>
      </c>
      <c r="AU62" s="142">
        <f t="shared" si="108"/>
        <v>893</v>
      </c>
      <c r="AV62" s="141">
        <f>RCFs!$C$37</f>
        <v>17.86</v>
      </c>
      <c r="AW62" s="142">
        <f t="shared" si="102"/>
        <v>903.5</v>
      </c>
      <c r="AX62" s="141">
        <f>RCFs!$C$64</f>
        <v>18.07</v>
      </c>
      <c r="AY62" s="142">
        <f t="shared" si="108"/>
        <v>916.1</v>
      </c>
      <c r="AZ62" s="141">
        <f>RCFs!$C$39</f>
        <v>18.323333333333334</v>
      </c>
      <c r="BA62" s="141">
        <f t="shared" ref="BA62" si="135">ROUNDDOWN(BB62*$C62,1)</f>
        <v>878.9</v>
      </c>
      <c r="BB62" s="141">
        <f>RCFs!$C$41</f>
        <v>17.579000000000001</v>
      </c>
      <c r="BC62" s="84"/>
      <c r="BD62" s="84"/>
      <c r="BE62" s="84"/>
      <c r="BF62" s="84"/>
      <c r="BG62" s="84"/>
      <c r="BH62" s="84"/>
      <c r="BI62" s="84"/>
      <c r="BJ62" s="84"/>
      <c r="BK62" s="84"/>
      <c r="BL62" s="84"/>
      <c r="BM62" s="85"/>
      <c r="BN62" s="85"/>
      <c r="BO62" s="85"/>
      <c r="BP62" s="85"/>
      <c r="BQ62" s="85"/>
      <c r="BR62" s="85"/>
      <c r="BS62" s="85"/>
      <c r="BT62" s="85"/>
      <c r="BU62" s="85"/>
      <c r="BV62" s="85"/>
    </row>
    <row r="63" spans="1:74" s="86" customFormat="1" x14ac:dyDescent="0.2">
      <c r="A63" s="83">
        <v>1143</v>
      </c>
      <c r="B63" s="63" t="s">
        <v>46</v>
      </c>
      <c r="C63" s="64">
        <v>8</v>
      </c>
      <c r="D63" s="56">
        <f t="shared" si="87"/>
        <v>545.1</v>
      </c>
      <c r="E63" s="141">
        <f>RCFs!$C$43</f>
        <v>68.141894999999991</v>
      </c>
      <c r="F63" s="56">
        <f t="shared" si="99"/>
        <v>140.6</v>
      </c>
      <c r="G63" s="141">
        <f>RCFs!$C$5</f>
        <v>17.577000000000002</v>
      </c>
      <c r="H63" s="56">
        <f t="shared" si="103"/>
        <v>140.6</v>
      </c>
      <c r="I63" s="141">
        <f>RCFs!$C$5</f>
        <v>17.577000000000002</v>
      </c>
      <c r="J63" s="65">
        <f t="shared" si="134"/>
        <v>154.69999999999999</v>
      </c>
      <c r="K63" s="65">
        <f t="shared" si="134"/>
        <v>192.6</v>
      </c>
      <c r="L63" s="65">
        <f t="shared" si="134"/>
        <v>206.7</v>
      </c>
      <c r="M63" s="65">
        <f t="shared" si="134"/>
        <v>227.8</v>
      </c>
      <c r="N63" s="65">
        <f t="shared" si="134"/>
        <v>281.2</v>
      </c>
      <c r="O63" s="65">
        <f t="shared" si="134"/>
        <v>302.3</v>
      </c>
      <c r="P63" s="65">
        <f t="shared" si="134"/>
        <v>421.8</v>
      </c>
      <c r="Q63" s="56">
        <f t="shared" si="104"/>
        <v>141.30000000000001</v>
      </c>
      <c r="R63" s="55">
        <f>RCFs!$C$7</f>
        <v>17.66</v>
      </c>
      <c r="S63" s="65">
        <f t="shared" si="131"/>
        <v>183.6</v>
      </c>
      <c r="T63" s="65">
        <f t="shared" si="131"/>
        <v>211.9</v>
      </c>
      <c r="U63" s="56">
        <f t="shared" si="106"/>
        <v>136.19999999999999</v>
      </c>
      <c r="V63" s="55">
        <f>RCFs!$C$9</f>
        <v>17.033999999999999</v>
      </c>
      <c r="W63" s="56">
        <f t="shared" si="89"/>
        <v>136.30000000000001</v>
      </c>
      <c r="X63" s="141">
        <f t="shared" si="107"/>
        <v>17.033999999999999</v>
      </c>
      <c r="Y63" s="65">
        <f t="shared" si="121"/>
        <v>149.9</v>
      </c>
      <c r="Z63" s="65">
        <f t="shared" si="121"/>
        <v>186.7</v>
      </c>
      <c r="AA63" s="65">
        <f t="shared" si="121"/>
        <v>220.8</v>
      </c>
      <c r="AB63" s="65">
        <f t="shared" si="121"/>
        <v>200.3</v>
      </c>
      <c r="AC63" s="65">
        <f t="shared" si="124"/>
        <v>295.7</v>
      </c>
      <c r="AD63" s="65">
        <f t="shared" si="122"/>
        <v>408.8</v>
      </c>
      <c r="AE63" s="56">
        <f t="shared" si="110"/>
        <v>131.80000000000001</v>
      </c>
      <c r="AF63" s="55">
        <f>RCFs!$C$13</f>
        <v>16.48</v>
      </c>
      <c r="AG63" s="61">
        <f t="shared" ref="AG63:AI82" si="136">ROUND($AE63*AG$6,1)</f>
        <v>217.5</v>
      </c>
      <c r="AH63" s="61">
        <f t="shared" si="136"/>
        <v>276.8</v>
      </c>
      <c r="AI63" s="61">
        <f t="shared" si="136"/>
        <v>395.4</v>
      </c>
      <c r="AJ63" s="56">
        <f t="shared" si="92"/>
        <v>135</v>
      </c>
      <c r="AK63" s="141">
        <f>RCFs!$C$23</f>
        <v>16.876666666666669</v>
      </c>
      <c r="AL63" s="56">
        <f t="shared" si="93"/>
        <v>186.1</v>
      </c>
      <c r="AM63" s="141">
        <f>RCFs!$C$27</f>
        <v>23.256666666666668</v>
      </c>
      <c r="AN63" s="142">
        <f t="shared" si="94"/>
        <v>148.1</v>
      </c>
      <c r="AO63" s="141">
        <f>RCFs!$C$33</f>
        <v>18.513999999999999</v>
      </c>
      <c r="AP63" s="61">
        <f t="shared" si="95"/>
        <v>222.1</v>
      </c>
      <c r="AQ63" s="142">
        <f t="shared" si="96"/>
        <v>138.4</v>
      </c>
      <c r="AR63" s="141">
        <f>RCFs!$C$35</f>
        <v>17.306666666666668</v>
      </c>
      <c r="AS63" s="61">
        <f t="shared" si="129"/>
        <v>179.9</v>
      </c>
      <c r="AT63" s="61">
        <f t="shared" si="129"/>
        <v>200.6</v>
      </c>
      <c r="AU63" s="142">
        <f t="shared" si="108"/>
        <v>142.80000000000001</v>
      </c>
      <c r="AV63" s="141">
        <f>RCFs!$C$37</f>
        <v>17.86</v>
      </c>
      <c r="AW63" s="142">
        <f t="shared" si="102"/>
        <v>144.5</v>
      </c>
      <c r="AX63" s="141">
        <f>RCFs!$C$64</f>
        <v>18.07</v>
      </c>
      <c r="AY63" s="142">
        <f t="shared" si="108"/>
        <v>146.5</v>
      </c>
      <c r="AZ63" s="141">
        <f>RCFs!$C$39</f>
        <v>18.323333333333334</v>
      </c>
      <c r="BA63" s="141">
        <f t="shared" ref="BA63" si="137">ROUNDDOWN(BB63*$C63,1)</f>
        <v>140.6</v>
      </c>
      <c r="BB63" s="141">
        <f>RCFs!$C$41</f>
        <v>17.579000000000001</v>
      </c>
      <c r="BC63" s="84"/>
      <c r="BD63" s="84"/>
      <c r="BE63" s="84"/>
      <c r="BF63" s="84"/>
      <c r="BG63" s="84"/>
      <c r="BH63" s="84"/>
      <c r="BI63" s="84"/>
      <c r="BJ63" s="84"/>
      <c r="BK63" s="84"/>
      <c r="BL63" s="84"/>
      <c r="BM63" s="85"/>
      <c r="BN63" s="85"/>
      <c r="BO63" s="85"/>
      <c r="BP63" s="85"/>
      <c r="BQ63" s="85"/>
      <c r="BR63" s="85"/>
      <c r="BS63" s="85"/>
      <c r="BT63" s="85"/>
      <c r="BU63" s="85"/>
      <c r="BV63" s="85"/>
    </row>
    <row r="64" spans="1:74" s="86" customFormat="1" x14ac:dyDescent="0.2">
      <c r="A64" s="83">
        <v>1145</v>
      </c>
      <c r="B64" s="63" t="s">
        <v>47</v>
      </c>
      <c r="C64" s="64">
        <v>13</v>
      </c>
      <c r="D64" s="56">
        <f t="shared" si="87"/>
        <v>885.8</v>
      </c>
      <c r="E64" s="141">
        <f>RCFs!$C$43</f>
        <v>68.141894999999991</v>
      </c>
      <c r="F64" s="56">
        <f t="shared" si="99"/>
        <v>228.5</v>
      </c>
      <c r="G64" s="141">
        <f>RCFs!$C$5</f>
        <v>17.577000000000002</v>
      </c>
      <c r="H64" s="56">
        <f t="shared" si="103"/>
        <v>228.5</v>
      </c>
      <c r="I64" s="141">
        <f>RCFs!$C$5</f>
        <v>17.577000000000002</v>
      </c>
      <c r="J64" s="65">
        <f t="shared" si="134"/>
        <v>251.4</v>
      </c>
      <c r="K64" s="65">
        <f t="shared" si="134"/>
        <v>313</v>
      </c>
      <c r="L64" s="65">
        <f t="shared" si="134"/>
        <v>335.9</v>
      </c>
      <c r="M64" s="65">
        <f t="shared" si="134"/>
        <v>370.2</v>
      </c>
      <c r="N64" s="65">
        <f t="shared" si="134"/>
        <v>457</v>
      </c>
      <c r="O64" s="65">
        <f t="shared" si="134"/>
        <v>491.3</v>
      </c>
      <c r="P64" s="65">
        <f t="shared" si="134"/>
        <v>685.5</v>
      </c>
      <c r="Q64" s="56">
        <f t="shared" si="104"/>
        <v>229.6</v>
      </c>
      <c r="R64" s="55">
        <f>RCFs!$C$7</f>
        <v>17.66</v>
      </c>
      <c r="S64" s="65">
        <f t="shared" si="131"/>
        <v>298.39999999999998</v>
      </c>
      <c r="T64" s="65">
        <f t="shared" si="131"/>
        <v>344.4</v>
      </c>
      <c r="U64" s="56">
        <f t="shared" si="106"/>
        <v>221.4</v>
      </c>
      <c r="V64" s="55">
        <f>RCFs!$C$9</f>
        <v>17.033999999999999</v>
      </c>
      <c r="W64" s="56">
        <f t="shared" si="89"/>
        <v>221.4</v>
      </c>
      <c r="X64" s="141">
        <f t="shared" si="107"/>
        <v>17.033999999999999</v>
      </c>
      <c r="Y64" s="65">
        <f t="shared" si="121"/>
        <v>243.6</v>
      </c>
      <c r="Z64" s="65">
        <f t="shared" si="121"/>
        <v>303.39999999999998</v>
      </c>
      <c r="AA64" s="65">
        <f t="shared" si="121"/>
        <v>358.7</v>
      </c>
      <c r="AB64" s="65">
        <f t="shared" si="121"/>
        <v>325.5</v>
      </c>
      <c r="AC64" s="65">
        <f t="shared" si="124"/>
        <v>480.5</v>
      </c>
      <c r="AD64" s="65">
        <f t="shared" si="122"/>
        <v>664.3</v>
      </c>
      <c r="AE64" s="56">
        <f t="shared" si="110"/>
        <v>214.2</v>
      </c>
      <c r="AF64" s="55">
        <f>RCFs!$C$13</f>
        <v>16.48</v>
      </c>
      <c r="AG64" s="61">
        <f t="shared" si="136"/>
        <v>353.4</v>
      </c>
      <c r="AH64" s="61">
        <f t="shared" si="136"/>
        <v>449.8</v>
      </c>
      <c r="AI64" s="61">
        <f t="shared" si="136"/>
        <v>642.6</v>
      </c>
      <c r="AJ64" s="56">
        <f t="shared" si="92"/>
        <v>219.3</v>
      </c>
      <c r="AK64" s="141">
        <f>RCFs!$C$23</f>
        <v>16.876666666666669</v>
      </c>
      <c r="AL64" s="56">
        <f t="shared" si="93"/>
        <v>302.3</v>
      </c>
      <c r="AM64" s="141">
        <f>RCFs!$C$27</f>
        <v>23.256666666666668</v>
      </c>
      <c r="AN64" s="142">
        <f t="shared" si="94"/>
        <v>240.6</v>
      </c>
      <c r="AO64" s="141">
        <f>RCFs!$C$33</f>
        <v>18.513999999999999</v>
      </c>
      <c r="AP64" s="61">
        <f t="shared" si="95"/>
        <v>360.9</v>
      </c>
      <c r="AQ64" s="142">
        <f t="shared" si="96"/>
        <v>224.9</v>
      </c>
      <c r="AR64" s="141">
        <f>RCFs!$C$35</f>
        <v>17.306666666666668</v>
      </c>
      <c r="AS64" s="61">
        <f t="shared" si="129"/>
        <v>292.3</v>
      </c>
      <c r="AT64" s="61">
        <f t="shared" si="129"/>
        <v>326.10000000000002</v>
      </c>
      <c r="AU64" s="142">
        <f t="shared" si="108"/>
        <v>232.1</v>
      </c>
      <c r="AV64" s="141">
        <f>RCFs!$C$37</f>
        <v>17.86</v>
      </c>
      <c r="AW64" s="142">
        <f t="shared" si="102"/>
        <v>234.9</v>
      </c>
      <c r="AX64" s="141">
        <f>RCFs!$C$64</f>
        <v>18.07</v>
      </c>
      <c r="AY64" s="142">
        <f t="shared" si="108"/>
        <v>238.2</v>
      </c>
      <c r="AZ64" s="141">
        <f>RCFs!$C$39</f>
        <v>18.323333333333334</v>
      </c>
      <c r="BA64" s="141">
        <f t="shared" ref="BA64" si="138">ROUNDDOWN(BB64*$C64,1)</f>
        <v>228.5</v>
      </c>
      <c r="BB64" s="141">
        <f>RCFs!$C$41</f>
        <v>17.579000000000001</v>
      </c>
      <c r="BC64" s="84"/>
      <c r="BD64" s="84"/>
      <c r="BE64" s="84"/>
      <c r="BF64" s="84"/>
      <c r="BG64" s="84"/>
      <c r="BH64" s="84"/>
      <c r="BI64" s="84"/>
      <c r="BJ64" s="84"/>
      <c r="BK64" s="84"/>
      <c r="BL64" s="84"/>
      <c r="BM64" s="85"/>
      <c r="BN64" s="85"/>
      <c r="BO64" s="85"/>
      <c r="BP64" s="85"/>
      <c r="BQ64" s="85"/>
      <c r="BR64" s="85"/>
      <c r="BS64" s="85"/>
      <c r="BT64" s="85"/>
      <c r="BU64" s="85"/>
      <c r="BV64" s="85"/>
    </row>
    <row r="65" spans="1:74" s="86" customFormat="1" x14ac:dyDescent="0.2">
      <c r="A65" s="83">
        <v>1186</v>
      </c>
      <c r="B65" s="63" t="s">
        <v>48</v>
      </c>
      <c r="C65" s="64">
        <v>30</v>
      </c>
      <c r="D65" s="56">
        <f t="shared" si="87"/>
        <v>2044.3</v>
      </c>
      <c r="E65" s="141">
        <f>RCFs!$C$43</f>
        <v>68.141894999999991</v>
      </c>
      <c r="F65" s="56">
        <f t="shared" si="99"/>
        <v>527.29999999999995</v>
      </c>
      <c r="G65" s="141">
        <f>RCFs!$C$5</f>
        <v>17.577000000000002</v>
      </c>
      <c r="H65" s="56">
        <f t="shared" si="103"/>
        <v>527.29999999999995</v>
      </c>
      <c r="I65" s="141">
        <f>RCFs!$C$5</f>
        <v>17.577000000000002</v>
      </c>
      <c r="J65" s="65">
        <f t="shared" si="134"/>
        <v>580</v>
      </c>
      <c r="K65" s="65">
        <f t="shared" si="134"/>
        <v>722.4</v>
      </c>
      <c r="L65" s="65">
        <f t="shared" si="134"/>
        <v>775.1</v>
      </c>
      <c r="M65" s="65">
        <f t="shared" si="134"/>
        <v>854.2</v>
      </c>
      <c r="N65" s="65">
        <f t="shared" si="134"/>
        <v>1054.5999999999999</v>
      </c>
      <c r="O65" s="65">
        <f t="shared" si="134"/>
        <v>1133.7</v>
      </c>
      <c r="P65" s="65">
        <f t="shared" si="134"/>
        <v>1581.9</v>
      </c>
      <c r="Q65" s="56">
        <f t="shared" si="104"/>
        <v>529.79999999999995</v>
      </c>
      <c r="R65" s="55">
        <f>RCFs!$C$7</f>
        <v>17.66</v>
      </c>
      <c r="S65" s="65">
        <f t="shared" si="131"/>
        <v>688.7</v>
      </c>
      <c r="T65" s="65">
        <f t="shared" si="131"/>
        <v>794.7</v>
      </c>
      <c r="U65" s="56">
        <f t="shared" si="106"/>
        <v>511</v>
      </c>
      <c r="V65" s="55">
        <f>RCFs!$C$9</f>
        <v>17.033999999999999</v>
      </c>
      <c r="W65" s="56">
        <f t="shared" si="89"/>
        <v>511</v>
      </c>
      <c r="X65" s="141">
        <f t="shared" si="107"/>
        <v>17.033999999999999</v>
      </c>
      <c r="Y65" s="65">
        <f t="shared" si="121"/>
        <v>562.1</v>
      </c>
      <c r="Z65" s="65">
        <f t="shared" si="121"/>
        <v>700.1</v>
      </c>
      <c r="AA65" s="65">
        <f t="shared" si="121"/>
        <v>827.9</v>
      </c>
      <c r="AB65" s="65">
        <f t="shared" si="121"/>
        <v>751.2</v>
      </c>
      <c r="AC65" s="65">
        <f t="shared" si="124"/>
        <v>1108.9000000000001</v>
      </c>
      <c r="AD65" s="65">
        <f t="shared" si="122"/>
        <v>1533.1</v>
      </c>
      <c r="AE65" s="56">
        <f t="shared" si="110"/>
        <v>494.4</v>
      </c>
      <c r="AF65" s="55">
        <f>RCFs!$C$13</f>
        <v>16.48</v>
      </c>
      <c r="AG65" s="61">
        <f t="shared" si="136"/>
        <v>815.8</v>
      </c>
      <c r="AH65" s="61">
        <f t="shared" si="136"/>
        <v>1038.2</v>
      </c>
      <c r="AI65" s="61">
        <f t="shared" si="136"/>
        <v>1483.2</v>
      </c>
      <c r="AJ65" s="56">
        <f t="shared" si="92"/>
        <v>506.3</v>
      </c>
      <c r="AK65" s="141">
        <f>RCFs!$C$23</f>
        <v>16.876666666666669</v>
      </c>
      <c r="AL65" s="56">
        <f t="shared" si="93"/>
        <v>697.7</v>
      </c>
      <c r="AM65" s="141">
        <f>RCFs!$C$27</f>
        <v>23.256666666666668</v>
      </c>
      <c r="AN65" s="142">
        <f t="shared" si="94"/>
        <v>555.4</v>
      </c>
      <c r="AO65" s="141">
        <f>RCFs!$C$33</f>
        <v>18.513999999999999</v>
      </c>
      <c r="AP65" s="61">
        <f t="shared" si="95"/>
        <v>833.1</v>
      </c>
      <c r="AQ65" s="142">
        <f t="shared" si="96"/>
        <v>519.20000000000005</v>
      </c>
      <c r="AR65" s="141">
        <f>RCFs!$C$35</f>
        <v>17.306666666666668</v>
      </c>
      <c r="AS65" s="61">
        <f t="shared" si="129"/>
        <v>674.9</v>
      </c>
      <c r="AT65" s="61">
        <f t="shared" si="129"/>
        <v>752.8</v>
      </c>
      <c r="AU65" s="142">
        <f t="shared" si="108"/>
        <v>535.79999999999995</v>
      </c>
      <c r="AV65" s="141">
        <f>RCFs!$C$37</f>
        <v>17.86</v>
      </c>
      <c r="AW65" s="142">
        <f t="shared" si="102"/>
        <v>542.1</v>
      </c>
      <c r="AX65" s="141">
        <f>RCFs!$C$64</f>
        <v>18.07</v>
      </c>
      <c r="AY65" s="142">
        <f t="shared" si="108"/>
        <v>549.70000000000005</v>
      </c>
      <c r="AZ65" s="141">
        <f>RCFs!$C$39</f>
        <v>18.323333333333334</v>
      </c>
      <c r="BA65" s="141">
        <f t="shared" ref="BA65" si="139">ROUNDDOWN(BB65*$C65,1)</f>
        <v>527.29999999999995</v>
      </c>
      <c r="BB65" s="141">
        <f>RCFs!$C$41</f>
        <v>17.579000000000001</v>
      </c>
      <c r="BC65" s="84"/>
      <c r="BD65" s="84"/>
      <c r="BE65" s="84"/>
      <c r="BF65" s="84"/>
      <c r="BG65" s="84"/>
      <c r="BH65" s="84"/>
      <c r="BI65" s="84"/>
      <c r="BJ65" s="84"/>
      <c r="BK65" s="84"/>
      <c r="BL65" s="84"/>
      <c r="BM65" s="85"/>
      <c r="BN65" s="85"/>
      <c r="BO65" s="85"/>
      <c r="BP65" s="85"/>
      <c r="BQ65" s="85"/>
      <c r="BR65" s="85"/>
      <c r="BS65" s="85"/>
      <c r="BT65" s="85"/>
      <c r="BU65" s="85"/>
      <c r="BV65" s="85"/>
    </row>
    <row r="66" spans="1:74" s="86" customFormat="1" x14ac:dyDescent="0.2">
      <c r="A66" s="88">
        <v>1187</v>
      </c>
      <c r="B66" s="63" t="s">
        <v>49</v>
      </c>
      <c r="C66" s="64">
        <v>4.9000000000000004</v>
      </c>
      <c r="D66" s="56">
        <f t="shared" si="87"/>
        <v>333.9</v>
      </c>
      <c r="E66" s="141">
        <f>RCFs!$C$43</f>
        <v>68.141894999999991</v>
      </c>
      <c r="F66" s="56">
        <f t="shared" si="99"/>
        <v>86.1</v>
      </c>
      <c r="G66" s="141">
        <f>RCFs!$C$5</f>
        <v>17.577000000000002</v>
      </c>
      <c r="H66" s="56">
        <f t="shared" si="103"/>
        <v>86.1</v>
      </c>
      <c r="I66" s="141">
        <f>RCFs!$C$5</f>
        <v>17.577000000000002</v>
      </c>
      <c r="J66" s="65">
        <f t="shared" si="134"/>
        <v>94.7</v>
      </c>
      <c r="K66" s="65">
        <f t="shared" si="134"/>
        <v>118</v>
      </c>
      <c r="L66" s="65">
        <f t="shared" si="134"/>
        <v>126.6</v>
      </c>
      <c r="M66" s="65">
        <f t="shared" si="134"/>
        <v>139.5</v>
      </c>
      <c r="N66" s="65">
        <f t="shared" si="134"/>
        <v>172.3</v>
      </c>
      <c r="O66" s="65">
        <f t="shared" si="134"/>
        <v>185.2</v>
      </c>
      <c r="P66" s="65">
        <f t="shared" si="134"/>
        <v>258.39999999999998</v>
      </c>
      <c r="Q66" s="56">
        <f t="shared" si="104"/>
        <v>86.5</v>
      </c>
      <c r="R66" s="55">
        <f>RCFs!$C$7</f>
        <v>17.66</v>
      </c>
      <c r="S66" s="65">
        <f t="shared" si="131"/>
        <v>112.4</v>
      </c>
      <c r="T66" s="65">
        <f t="shared" si="131"/>
        <v>129.69999999999999</v>
      </c>
      <c r="U66" s="56">
        <f t="shared" si="106"/>
        <v>83.4</v>
      </c>
      <c r="V66" s="55">
        <f>RCFs!$C$9</f>
        <v>17.033999999999999</v>
      </c>
      <c r="W66" s="56">
        <f t="shared" si="89"/>
        <v>83.5</v>
      </c>
      <c r="X66" s="141">
        <f t="shared" si="107"/>
        <v>17.033999999999999</v>
      </c>
      <c r="Y66" s="65">
        <f t="shared" si="121"/>
        <v>91.8</v>
      </c>
      <c r="Z66" s="65">
        <f t="shared" si="121"/>
        <v>114.3</v>
      </c>
      <c r="AA66" s="65">
        <f t="shared" si="121"/>
        <v>135.19999999999999</v>
      </c>
      <c r="AB66" s="65">
        <f t="shared" si="121"/>
        <v>122.7</v>
      </c>
      <c r="AC66" s="65">
        <f t="shared" si="124"/>
        <v>181.1</v>
      </c>
      <c r="AD66" s="65">
        <f t="shared" si="122"/>
        <v>250.4</v>
      </c>
      <c r="AE66" s="56">
        <f t="shared" si="110"/>
        <v>80.8</v>
      </c>
      <c r="AF66" s="55">
        <f>RCFs!$C$13</f>
        <v>16.48</v>
      </c>
      <c r="AG66" s="61">
        <f t="shared" si="136"/>
        <v>133.30000000000001</v>
      </c>
      <c r="AH66" s="61">
        <f t="shared" si="136"/>
        <v>169.7</v>
      </c>
      <c r="AI66" s="61">
        <f t="shared" si="136"/>
        <v>242.4</v>
      </c>
      <c r="AJ66" s="56">
        <f t="shared" si="92"/>
        <v>82.6</v>
      </c>
      <c r="AK66" s="141">
        <f>RCFs!$C$23</f>
        <v>16.876666666666669</v>
      </c>
      <c r="AL66" s="56">
        <f t="shared" si="93"/>
        <v>114</v>
      </c>
      <c r="AM66" s="141">
        <f>RCFs!$C$27</f>
        <v>23.256666666666668</v>
      </c>
      <c r="AN66" s="142">
        <f t="shared" si="94"/>
        <v>90.7</v>
      </c>
      <c r="AO66" s="141">
        <f>RCFs!$C$33</f>
        <v>18.513999999999999</v>
      </c>
      <c r="AP66" s="61">
        <f t="shared" si="95"/>
        <v>136</v>
      </c>
      <c r="AQ66" s="142">
        <f t="shared" si="96"/>
        <v>84.8</v>
      </c>
      <c r="AR66" s="141">
        <f>RCFs!$C$35</f>
        <v>17.306666666666668</v>
      </c>
      <c r="AS66" s="61">
        <f t="shared" si="129"/>
        <v>110.2</v>
      </c>
      <c r="AT66" s="61">
        <f t="shared" si="129"/>
        <v>122.9</v>
      </c>
      <c r="AU66" s="142">
        <f t="shared" si="108"/>
        <v>87.5</v>
      </c>
      <c r="AV66" s="141">
        <f>RCFs!$C$37</f>
        <v>17.86</v>
      </c>
      <c r="AW66" s="142">
        <f t="shared" si="102"/>
        <v>88.5</v>
      </c>
      <c r="AX66" s="141">
        <f>RCFs!$C$64</f>
        <v>18.07</v>
      </c>
      <c r="AY66" s="142">
        <f t="shared" si="108"/>
        <v>89.7</v>
      </c>
      <c r="AZ66" s="141">
        <f>RCFs!$C$39</f>
        <v>18.323333333333334</v>
      </c>
      <c r="BA66" s="141">
        <f t="shared" ref="BA66" si="140">ROUNDDOWN(BB66*$C66,1)</f>
        <v>86.1</v>
      </c>
      <c r="BB66" s="141">
        <f>RCFs!$C$41</f>
        <v>17.579000000000001</v>
      </c>
      <c r="BC66" s="84"/>
      <c r="BD66" s="84"/>
      <c r="BE66" s="84"/>
      <c r="BF66" s="84"/>
      <c r="BG66" s="84"/>
      <c r="BH66" s="84"/>
      <c r="BI66" s="84"/>
      <c r="BJ66" s="84"/>
      <c r="BK66" s="84"/>
      <c r="BL66" s="84"/>
      <c r="BM66" s="85"/>
      <c r="BN66" s="85"/>
      <c r="BO66" s="85"/>
      <c r="BP66" s="85"/>
      <c r="BQ66" s="85"/>
      <c r="BR66" s="85"/>
      <c r="BS66" s="85"/>
      <c r="BT66" s="85"/>
      <c r="BU66" s="85"/>
      <c r="BV66" s="85"/>
    </row>
    <row r="67" spans="1:74" s="86" customFormat="1" x14ac:dyDescent="0.2">
      <c r="A67" s="83">
        <v>1188</v>
      </c>
      <c r="B67" s="63" t="s">
        <v>50</v>
      </c>
      <c r="C67" s="64">
        <v>50</v>
      </c>
      <c r="D67" s="56">
        <f t="shared" si="87"/>
        <v>3407.1</v>
      </c>
      <c r="E67" s="141">
        <f>RCFs!$C$43</f>
        <v>68.141894999999991</v>
      </c>
      <c r="F67" s="56">
        <f t="shared" si="99"/>
        <v>878.9</v>
      </c>
      <c r="G67" s="141">
        <f>RCFs!$C$5</f>
        <v>17.577000000000002</v>
      </c>
      <c r="H67" s="56">
        <f t="shared" si="103"/>
        <v>878.9</v>
      </c>
      <c r="I67" s="141">
        <f>RCFs!$C$5</f>
        <v>17.577000000000002</v>
      </c>
      <c r="J67" s="65">
        <f t="shared" si="134"/>
        <v>966.7</v>
      </c>
      <c r="K67" s="65">
        <f t="shared" si="134"/>
        <v>1204</v>
      </c>
      <c r="L67" s="65">
        <f t="shared" si="134"/>
        <v>1291.9000000000001</v>
      </c>
      <c r="M67" s="65">
        <f t="shared" si="134"/>
        <v>1423.7</v>
      </c>
      <c r="N67" s="65">
        <f t="shared" si="134"/>
        <v>1757.7</v>
      </c>
      <c r="O67" s="65">
        <f t="shared" si="134"/>
        <v>1889.5</v>
      </c>
      <c r="P67" s="65">
        <f t="shared" si="134"/>
        <v>2636.6</v>
      </c>
      <c r="Q67" s="56">
        <f t="shared" si="104"/>
        <v>883</v>
      </c>
      <c r="R67" s="55">
        <f>RCFs!$C$7</f>
        <v>17.66</v>
      </c>
      <c r="S67" s="65">
        <f t="shared" si="131"/>
        <v>1147.9000000000001</v>
      </c>
      <c r="T67" s="65">
        <f t="shared" si="131"/>
        <v>1324.5</v>
      </c>
      <c r="U67" s="56">
        <f t="shared" si="106"/>
        <v>851.7</v>
      </c>
      <c r="V67" s="55">
        <f>RCFs!$C$9</f>
        <v>17.033999999999999</v>
      </c>
      <c r="W67" s="56">
        <f t="shared" si="89"/>
        <v>851.7</v>
      </c>
      <c r="X67" s="141">
        <f t="shared" si="107"/>
        <v>17.033999999999999</v>
      </c>
      <c r="Y67" s="65">
        <f t="shared" si="121"/>
        <v>936.9</v>
      </c>
      <c r="Z67" s="65">
        <f t="shared" si="121"/>
        <v>1166.8</v>
      </c>
      <c r="AA67" s="65">
        <f t="shared" si="121"/>
        <v>1379.8</v>
      </c>
      <c r="AB67" s="65">
        <f t="shared" si="121"/>
        <v>1252</v>
      </c>
      <c r="AC67" s="65">
        <f t="shared" si="124"/>
        <v>1848.2</v>
      </c>
      <c r="AD67" s="65">
        <f t="shared" si="122"/>
        <v>2555.1</v>
      </c>
      <c r="AE67" s="56">
        <f t="shared" si="110"/>
        <v>824</v>
      </c>
      <c r="AF67" s="55">
        <f>RCFs!$C$13</f>
        <v>16.48</v>
      </c>
      <c r="AG67" s="61">
        <f t="shared" si="136"/>
        <v>1359.6</v>
      </c>
      <c r="AH67" s="61">
        <f t="shared" si="136"/>
        <v>1730.4</v>
      </c>
      <c r="AI67" s="61">
        <f t="shared" si="136"/>
        <v>2472</v>
      </c>
      <c r="AJ67" s="56">
        <f t="shared" si="92"/>
        <v>843.8</v>
      </c>
      <c r="AK67" s="141">
        <f>RCFs!$C$23</f>
        <v>16.876666666666669</v>
      </c>
      <c r="AL67" s="56">
        <f t="shared" si="93"/>
        <v>1162.8</v>
      </c>
      <c r="AM67" s="141">
        <f>RCFs!$C$27</f>
        <v>23.256666666666668</v>
      </c>
      <c r="AN67" s="142">
        <f t="shared" si="94"/>
        <v>925.7</v>
      </c>
      <c r="AO67" s="141">
        <f>RCFs!$C$33</f>
        <v>18.513999999999999</v>
      </c>
      <c r="AP67" s="61">
        <f t="shared" si="95"/>
        <v>1388.5</v>
      </c>
      <c r="AQ67" s="142">
        <f t="shared" si="96"/>
        <v>865.3</v>
      </c>
      <c r="AR67" s="141">
        <f>RCFs!$C$35</f>
        <v>17.306666666666668</v>
      </c>
      <c r="AS67" s="61">
        <f t="shared" si="129"/>
        <v>1124.8</v>
      </c>
      <c r="AT67" s="61">
        <f t="shared" si="129"/>
        <v>1254.5999999999999</v>
      </c>
      <c r="AU67" s="142">
        <f t="shared" si="108"/>
        <v>893</v>
      </c>
      <c r="AV67" s="141">
        <f>RCFs!$C$37</f>
        <v>17.86</v>
      </c>
      <c r="AW67" s="142">
        <f t="shared" si="102"/>
        <v>903.5</v>
      </c>
      <c r="AX67" s="141">
        <f>RCFs!$C$64</f>
        <v>18.07</v>
      </c>
      <c r="AY67" s="142">
        <f t="shared" si="108"/>
        <v>916.1</v>
      </c>
      <c r="AZ67" s="141">
        <f>RCFs!$C$39</f>
        <v>18.323333333333334</v>
      </c>
      <c r="BA67" s="141">
        <f t="shared" ref="BA67" si="141">ROUNDDOWN(BB67*$C67,1)</f>
        <v>878.9</v>
      </c>
      <c r="BB67" s="141">
        <f>RCFs!$C$41</f>
        <v>17.579000000000001</v>
      </c>
      <c r="BC67" s="84"/>
      <c r="BD67" s="84"/>
      <c r="BE67" s="84"/>
      <c r="BF67" s="84"/>
      <c r="BG67" s="84"/>
      <c r="BH67" s="84"/>
      <c r="BI67" s="84"/>
      <c r="BJ67" s="84"/>
      <c r="BK67" s="84"/>
      <c r="BL67" s="84"/>
      <c r="BM67" s="85"/>
      <c r="BN67" s="85"/>
      <c r="BO67" s="85"/>
      <c r="BP67" s="85"/>
      <c r="BQ67" s="85"/>
      <c r="BR67" s="85"/>
      <c r="BS67" s="85"/>
      <c r="BT67" s="85"/>
      <c r="BU67" s="85"/>
      <c r="BV67" s="85"/>
    </row>
    <row r="68" spans="1:74" s="86" customFormat="1" x14ac:dyDescent="0.2">
      <c r="A68" s="83">
        <v>1189</v>
      </c>
      <c r="B68" s="63" t="s">
        <v>51</v>
      </c>
      <c r="C68" s="64">
        <v>10</v>
      </c>
      <c r="D68" s="56">
        <f t="shared" si="87"/>
        <v>681.4</v>
      </c>
      <c r="E68" s="141">
        <f>RCFs!$C$43</f>
        <v>68.141894999999991</v>
      </c>
      <c r="F68" s="56">
        <f t="shared" si="99"/>
        <v>175.8</v>
      </c>
      <c r="G68" s="141">
        <f>RCFs!$C$5</f>
        <v>17.577000000000002</v>
      </c>
      <c r="H68" s="56">
        <f t="shared" si="103"/>
        <v>175.8</v>
      </c>
      <c r="I68" s="141">
        <f>RCFs!$C$5</f>
        <v>17.577000000000002</v>
      </c>
      <c r="J68" s="65">
        <f t="shared" si="134"/>
        <v>193.3</v>
      </c>
      <c r="K68" s="65">
        <f t="shared" si="134"/>
        <v>240.8</v>
      </c>
      <c r="L68" s="65">
        <f t="shared" si="134"/>
        <v>258.39999999999998</v>
      </c>
      <c r="M68" s="65">
        <f t="shared" si="134"/>
        <v>284.7</v>
      </c>
      <c r="N68" s="65">
        <f t="shared" si="134"/>
        <v>351.5</v>
      </c>
      <c r="O68" s="65">
        <f t="shared" si="134"/>
        <v>377.9</v>
      </c>
      <c r="P68" s="65">
        <f t="shared" si="134"/>
        <v>527.29999999999995</v>
      </c>
      <c r="Q68" s="56">
        <f t="shared" si="104"/>
        <v>176.6</v>
      </c>
      <c r="R68" s="55">
        <f>RCFs!$C$7</f>
        <v>17.66</v>
      </c>
      <c r="S68" s="65">
        <f t="shared" si="131"/>
        <v>229.5</v>
      </c>
      <c r="T68" s="65">
        <f t="shared" si="131"/>
        <v>264.89999999999998</v>
      </c>
      <c r="U68" s="56">
        <f t="shared" si="106"/>
        <v>170.3</v>
      </c>
      <c r="V68" s="55">
        <f>RCFs!$C$9</f>
        <v>17.033999999999999</v>
      </c>
      <c r="W68" s="56">
        <f t="shared" si="89"/>
        <v>170.3</v>
      </c>
      <c r="X68" s="141">
        <f t="shared" si="107"/>
        <v>17.033999999999999</v>
      </c>
      <c r="Y68" s="65">
        <f t="shared" si="121"/>
        <v>187.4</v>
      </c>
      <c r="Z68" s="65">
        <f t="shared" si="121"/>
        <v>233.4</v>
      </c>
      <c r="AA68" s="65">
        <f t="shared" si="121"/>
        <v>276</v>
      </c>
      <c r="AB68" s="65">
        <f t="shared" si="121"/>
        <v>250.4</v>
      </c>
      <c r="AC68" s="65">
        <f t="shared" si="124"/>
        <v>369.6</v>
      </c>
      <c r="AD68" s="65">
        <f t="shared" si="122"/>
        <v>511</v>
      </c>
      <c r="AE68" s="56">
        <f t="shared" si="110"/>
        <v>164.8</v>
      </c>
      <c r="AF68" s="55">
        <f>RCFs!$C$13</f>
        <v>16.48</v>
      </c>
      <c r="AG68" s="61">
        <f t="shared" si="136"/>
        <v>271.89999999999998</v>
      </c>
      <c r="AH68" s="61">
        <f t="shared" si="136"/>
        <v>346.1</v>
      </c>
      <c r="AI68" s="61">
        <f t="shared" si="136"/>
        <v>494.4</v>
      </c>
      <c r="AJ68" s="56">
        <f t="shared" si="92"/>
        <v>168.7</v>
      </c>
      <c r="AK68" s="141">
        <f>RCFs!$C$23</f>
        <v>16.876666666666669</v>
      </c>
      <c r="AL68" s="56">
        <f t="shared" si="93"/>
        <v>232.6</v>
      </c>
      <c r="AM68" s="141">
        <f>RCFs!$C$27</f>
        <v>23.256666666666668</v>
      </c>
      <c r="AN68" s="142">
        <f t="shared" si="94"/>
        <v>185.1</v>
      </c>
      <c r="AO68" s="141">
        <f>RCFs!$C$33</f>
        <v>18.513999999999999</v>
      </c>
      <c r="AP68" s="61">
        <f t="shared" si="95"/>
        <v>277.60000000000002</v>
      </c>
      <c r="AQ68" s="142">
        <f t="shared" si="96"/>
        <v>173</v>
      </c>
      <c r="AR68" s="141">
        <f>RCFs!$C$35</f>
        <v>17.306666666666668</v>
      </c>
      <c r="AS68" s="61">
        <f t="shared" si="129"/>
        <v>224.9</v>
      </c>
      <c r="AT68" s="61">
        <f t="shared" si="129"/>
        <v>250.8</v>
      </c>
      <c r="AU68" s="142">
        <f t="shared" si="108"/>
        <v>178.6</v>
      </c>
      <c r="AV68" s="141">
        <f>RCFs!$C$37</f>
        <v>17.86</v>
      </c>
      <c r="AW68" s="142">
        <f t="shared" si="102"/>
        <v>180.7</v>
      </c>
      <c r="AX68" s="141">
        <f>RCFs!$C$64</f>
        <v>18.07</v>
      </c>
      <c r="AY68" s="142">
        <f t="shared" si="108"/>
        <v>183.2</v>
      </c>
      <c r="AZ68" s="141">
        <f>RCFs!$C$39</f>
        <v>18.323333333333334</v>
      </c>
      <c r="BA68" s="141">
        <f t="shared" ref="BA68" si="142">ROUNDDOWN(BB68*$C68,1)</f>
        <v>175.7</v>
      </c>
      <c r="BB68" s="141">
        <f>RCFs!$C$41</f>
        <v>17.579000000000001</v>
      </c>
      <c r="BC68" s="84"/>
      <c r="BD68" s="84"/>
      <c r="BE68" s="84"/>
      <c r="BF68" s="84"/>
      <c r="BG68" s="84"/>
      <c r="BH68" s="84"/>
      <c r="BI68" s="84"/>
      <c r="BJ68" s="84"/>
      <c r="BK68" s="84"/>
      <c r="BL68" s="84"/>
      <c r="BM68" s="85"/>
      <c r="BN68" s="85"/>
      <c r="BO68" s="85"/>
      <c r="BP68" s="85"/>
      <c r="BQ68" s="85"/>
      <c r="BR68" s="85"/>
      <c r="BS68" s="85"/>
      <c r="BT68" s="85"/>
      <c r="BU68" s="85"/>
      <c r="BV68" s="85"/>
    </row>
    <row r="69" spans="1:74" s="86" customFormat="1" x14ac:dyDescent="0.2">
      <c r="A69" s="83">
        <v>1190</v>
      </c>
      <c r="B69" s="63" t="s">
        <v>52</v>
      </c>
      <c r="C69" s="64">
        <v>45.31</v>
      </c>
      <c r="D69" s="56">
        <f t="shared" si="87"/>
        <v>3087.5</v>
      </c>
      <c r="E69" s="141">
        <f>RCFs!$C$43</f>
        <v>68.141894999999991</v>
      </c>
      <c r="F69" s="56">
        <f t="shared" si="99"/>
        <v>796.4</v>
      </c>
      <c r="G69" s="141">
        <f>RCFs!$C$5</f>
        <v>17.577000000000002</v>
      </c>
      <c r="H69" s="56">
        <f t="shared" si="103"/>
        <v>796.4</v>
      </c>
      <c r="I69" s="141">
        <f>RCFs!$C$5</f>
        <v>17.577000000000002</v>
      </c>
      <c r="J69" s="65">
        <f t="shared" si="134"/>
        <v>876.1</v>
      </c>
      <c r="K69" s="65">
        <f t="shared" si="134"/>
        <v>1091.0999999999999</v>
      </c>
      <c r="L69" s="65">
        <f t="shared" si="134"/>
        <v>1170.7</v>
      </c>
      <c r="M69" s="65">
        <f t="shared" si="134"/>
        <v>1290.2</v>
      </c>
      <c r="N69" s="65">
        <f t="shared" si="134"/>
        <v>1592.8</v>
      </c>
      <c r="O69" s="65">
        <f t="shared" si="134"/>
        <v>1712.3</v>
      </c>
      <c r="P69" s="65">
        <f t="shared" si="134"/>
        <v>2389.1999999999998</v>
      </c>
      <c r="Q69" s="56">
        <f t="shared" si="104"/>
        <v>800.2</v>
      </c>
      <c r="R69" s="55">
        <f>RCFs!$C$7</f>
        <v>17.66</v>
      </c>
      <c r="S69" s="65">
        <f t="shared" si="131"/>
        <v>1040.2</v>
      </c>
      <c r="T69" s="65">
        <f t="shared" si="131"/>
        <v>1200.3</v>
      </c>
      <c r="U69" s="56">
        <f t="shared" si="106"/>
        <v>771.8</v>
      </c>
      <c r="V69" s="55">
        <f>RCFs!$C$9</f>
        <v>17.033999999999999</v>
      </c>
      <c r="W69" s="56">
        <f t="shared" si="89"/>
        <v>771.8</v>
      </c>
      <c r="X69" s="141">
        <f t="shared" si="107"/>
        <v>17.033999999999999</v>
      </c>
      <c r="Y69" s="65">
        <f t="shared" si="121"/>
        <v>849</v>
      </c>
      <c r="Z69" s="65">
        <f t="shared" si="121"/>
        <v>1057.4000000000001</v>
      </c>
      <c r="AA69" s="65">
        <f t="shared" si="121"/>
        <v>1250.3</v>
      </c>
      <c r="AB69" s="65">
        <f t="shared" si="121"/>
        <v>1134.5999999999999</v>
      </c>
      <c r="AC69" s="65">
        <f t="shared" si="124"/>
        <v>1674.8</v>
      </c>
      <c r="AD69" s="65">
        <f t="shared" si="122"/>
        <v>2315.4</v>
      </c>
      <c r="AE69" s="56">
        <f t="shared" si="110"/>
        <v>746.7</v>
      </c>
      <c r="AF69" s="55">
        <f>RCFs!$C$13</f>
        <v>16.48</v>
      </c>
      <c r="AG69" s="61">
        <f t="shared" si="136"/>
        <v>1232.0999999999999</v>
      </c>
      <c r="AH69" s="61">
        <f t="shared" si="136"/>
        <v>1568.1</v>
      </c>
      <c r="AI69" s="61">
        <f t="shared" si="136"/>
        <v>2240.1</v>
      </c>
      <c r="AJ69" s="56">
        <f t="shared" si="92"/>
        <v>764.6</v>
      </c>
      <c r="AK69" s="141">
        <f>RCFs!$C$23</f>
        <v>16.876666666666669</v>
      </c>
      <c r="AL69" s="56">
        <f t="shared" si="93"/>
        <v>1053.8</v>
      </c>
      <c r="AM69" s="141">
        <f>RCFs!$C$27</f>
        <v>23.256666666666668</v>
      </c>
      <c r="AN69" s="142">
        <f t="shared" si="94"/>
        <v>838.8</v>
      </c>
      <c r="AO69" s="141">
        <f>RCFs!$C$33</f>
        <v>18.513999999999999</v>
      </c>
      <c r="AP69" s="61">
        <f t="shared" si="95"/>
        <v>1258.2</v>
      </c>
      <c r="AQ69" s="142">
        <f t="shared" si="96"/>
        <v>784.1</v>
      </c>
      <c r="AR69" s="141">
        <f>RCFs!$C$35</f>
        <v>17.306666666666668</v>
      </c>
      <c r="AS69" s="61">
        <f t="shared" si="129"/>
        <v>1019.3</v>
      </c>
      <c r="AT69" s="61">
        <f t="shared" si="129"/>
        <v>1136.9000000000001</v>
      </c>
      <c r="AU69" s="142">
        <f t="shared" si="108"/>
        <v>809.2</v>
      </c>
      <c r="AV69" s="141">
        <f>RCFs!$C$37</f>
        <v>17.86</v>
      </c>
      <c r="AW69" s="142">
        <f t="shared" si="102"/>
        <v>818.7</v>
      </c>
      <c r="AX69" s="141">
        <f>RCFs!$C$64</f>
        <v>18.07</v>
      </c>
      <c r="AY69" s="142">
        <f t="shared" si="108"/>
        <v>830.2</v>
      </c>
      <c r="AZ69" s="141">
        <f>RCFs!$C$39</f>
        <v>18.323333333333334</v>
      </c>
      <c r="BA69" s="141">
        <f t="shared" ref="BA69" si="143">ROUNDDOWN(BB69*$C69,1)</f>
        <v>796.5</v>
      </c>
      <c r="BB69" s="141">
        <f>RCFs!$C$41</f>
        <v>17.579000000000001</v>
      </c>
      <c r="BC69" s="84"/>
      <c r="BD69" s="84"/>
      <c r="BE69" s="84"/>
      <c r="BF69" s="84"/>
      <c r="BG69" s="84"/>
      <c r="BH69" s="84"/>
      <c r="BI69" s="84"/>
      <c r="BJ69" s="84"/>
      <c r="BK69" s="84"/>
      <c r="BL69" s="84"/>
      <c r="BM69" s="85"/>
      <c r="BN69" s="85"/>
      <c r="BO69" s="85"/>
      <c r="BP69" s="85"/>
      <c r="BQ69" s="85"/>
      <c r="BR69" s="85"/>
      <c r="BS69" s="85"/>
      <c r="BT69" s="85"/>
      <c r="BU69" s="85"/>
      <c r="BV69" s="85"/>
    </row>
    <row r="70" spans="1:74" s="86" customFormat="1" x14ac:dyDescent="0.2">
      <c r="A70" s="83">
        <v>1192</v>
      </c>
      <c r="B70" s="63" t="s">
        <v>53</v>
      </c>
      <c r="C70" s="64">
        <v>5</v>
      </c>
      <c r="D70" s="56">
        <f t="shared" si="87"/>
        <v>340.7</v>
      </c>
      <c r="E70" s="141">
        <f>RCFs!$C$43</f>
        <v>68.141894999999991</v>
      </c>
      <c r="F70" s="56">
        <f t="shared" si="99"/>
        <v>87.9</v>
      </c>
      <c r="G70" s="141">
        <f>RCFs!$C$5</f>
        <v>17.577000000000002</v>
      </c>
      <c r="H70" s="56">
        <f t="shared" si="103"/>
        <v>87.9</v>
      </c>
      <c r="I70" s="141">
        <f>RCFs!$C$5</f>
        <v>17.577000000000002</v>
      </c>
      <c r="J70" s="65">
        <f t="shared" si="134"/>
        <v>96.7</v>
      </c>
      <c r="K70" s="65">
        <f t="shared" si="134"/>
        <v>120.4</v>
      </c>
      <c r="L70" s="65">
        <f t="shared" si="134"/>
        <v>129.19999999999999</v>
      </c>
      <c r="M70" s="65">
        <f t="shared" si="134"/>
        <v>142.4</v>
      </c>
      <c r="N70" s="65">
        <f t="shared" si="134"/>
        <v>175.8</v>
      </c>
      <c r="O70" s="65">
        <f t="shared" si="134"/>
        <v>189</v>
      </c>
      <c r="P70" s="65">
        <f t="shared" si="134"/>
        <v>263.7</v>
      </c>
      <c r="Q70" s="56">
        <f t="shared" si="104"/>
        <v>88.3</v>
      </c>
      <c r="R70" s="55">
        <f>RCFs!$C$7</f>
        <v>17.66</v>
      </c>
      <c r="S70" s="65">
        <f t="shared" si="131"/>
        <v>114.7</v>
      </c>
      <c r="T70" s="65">
        <f t="shared" si="131"/>
        <v>132.4</v>
      </c>
      <c r="U70" s="56">
        <f t="shared" si="106"/>
        <v>85.1</v>
      </c>
      <c r="V70" s="55">
        <f>RCFs!$C$9</f>
        <v>17.033999999999999</v>
      </c>
      <c r="W70" s="56">
        <f t="shared" si="89"/>
        <v>85.2</v>
      </c>
      <c r="X70" s="141">
        <f t="shared" si="107"/>
        <v>17.033999999999999</v>
      </c>
      <c r="Y70" s="65">
        <f t="shared" si="121"/>
        <v>93.7</v>
      </c>
      <c r="Z70" s="65">
        <f t="shared" si="121"/>
        <v>116.7</v>
      </c>
      <c r="AA70" s="65">
        <f t="shared" si="121"/>
        <v>138</v>
      </c>
      <c r="AB70" s="65">
        <f t="shared" si="121"/>
        <v>125.2</v>
      </c>
      <c r="AC70" s="65">
        <f t="shared" si="124"/>
        <v>184.8</v>
      </c>
      <c r="AD70" s="65">
        <f t="shared" si="122"/>
        <v>255.5</v>
      </c>
      <c r="AE70" s="56">
        <f t="shared" si="110"/>
        <v>82.4</v>
      </c>
      <c r="AF70" s="55">
        <f>RCFs!$C$13</f>
        <v>16.48</v>
      </c>
      <c r="AG70" s="61">
        <f t="shared" si="136"/>
        <v>136</v>
      </c>
      <c r="AH70" s="61">
        <f t="shared" si="136"/>
        <v>173</v>
      </c>
      <c r="AI70" s="61">
        <f t="shared" si="136"/>
        <v>247.2</v>
      </c>
      <c r="AJ70" s="56">
        <f t="shared" si="92"/>
        <v>84.3</v>
      </c>
      <c r="AK70" s="141">
        <f>RCFs!$C$23</f>
        <v>16.876666666666669</v>
      </c>
      <c r="AL70" s="56">
        <f t="shared" si="93"/>
        <v>116.3</v>
      </c>
      <c r="AM70" s="141">
        <f>RCFs!$C$27</f>
        <v>23.256666666666668</v>
      </c>
      <c r="AN70" s="142">
        <f t="shared" si="94"/>
        <v>92.5</v>
      </c>
      <c r="AO70" s="141">
        <f>RCFs!$C$33</f>
        <v>18.513999999999999</v>
      </c>
      <c r="AP70" s="61">
        <f t="shared" si="95"/>
        <v>138.69999999999999</v>
      </c>
      <c r="AQ70" s="142">
        <f t="shared" si="96"/>
        <v>86.5</v>
      </c>
      <c r="AR70" s="141">
        <f>RCFs!$C$35</f>
        <v>17.306666666666668</v>
      </c>
      <c r="AS70" s="61">
        <f t="shared" si="129"/>
        <v>112.4</v>
      </c>
      <c r="AT70" s="61">
        <f t="shared" si="129"/>
        <v>125.4</v>
      </c>
      <c r="AU70" s="142">
        <f t="shared" si="108"/>
        <v>89.3</v>
      </c>
      <c r="AV70" s="141">
        <f>RCFs!$C$37</f>
        <v>17.86</v>
      </c>
      <c r="AW70" s="142">
        <f t="shared" si="102"/>
        <v>90.3</v>
      </c>
      <c r="AX70" s="141">
        <f>RCFs!$C$64</f>
        <v>18.07</v>
      </c>
      <c r="AY70" s="142">
        <f t="shared" si="108"/>
        <v>91.6</v>
      </c>
      <c r="AZ70" s="141">
        <f>RCFs!$C$39</f>
        <v>18.323333333333334</v>
      </c>
      <c r="BA70" s="141">
        <f t="shared" ref="BA70" si="144">ROUNDDOWN(BB70*$C70,1)</f>
        <v>87.8</v>
      </c>
      <c r="BB70" s="141">
        <f>RCFs!$C$41</f>
        <v>17.579000000000001</v>
      </c>
      <c r="BC70" s="84"/>
      <c r="BD70" s="84"/>
      <c r="BE70" s="84"/>
      <c r="BF70" s="84"/>
      <c r="BG70" s="84"/>
      <c r="BH70" s="84"/>
      <c r="BI70" s="84"/>
      <c r="BJ70" s="84"/>
      <c r="BK70" s="84"/>
      <c r="BL70" s="84"/>
      <c r="BM70" s="85"/>
      <c r="BN70" s="85"/>
      <c r="BO70" s="85"/>
      <c r="BP70" s="85"/>
      <c r="BQ70" s="85"/>
      <c r="BR70" s="85"/>
      <c r="BS70" s="85"/>
      <c r="BT70" s="85"/>
      <c r="BU70" s="85"/>
      <c r="BV70" s="85"/>
    </row>
    <row r="71" spans="1:74" s="86" customFormat="1" x14ac:dyDescent="0.2">
      <c r="A71" s="83">
        <v>1202</v>
      </c>
      <c r="B71" s="63" t="s">
        <v>54</v>
      </c>
      <c r="C71" s="64">
        <v>40</v>
      </c>
      <c r="D71" s="56">
        <f t="shared" si="87"/>
        <v>2725.7</v>
      </c>
      <c r="E71" s="141">
        <f>RCFs!$C$43</f>
        <v>68.141894999999991</v>
      </c>
      <c r="F71" s="56">
        <f t="shared" si="99"/>
        <v>703.1</v>
      </c>
      <c r="G71" s="141">
        <f>RCFs!$C$5</f>
        <v>17.577000000000002</v>
      </c>
      <c r="H71" s="56">
        <f t="shared" si="103"/>
        <v>703.1</v>
      </c>
      <c r="I71" s="141">
        <f>RCFs!$C$5</f>
        <v>17.577000000000002</v>
      </c>
      <c r="J71" s="65">
        <f t="shared" si="134"/>
        <v>773.4</v>
      </c>
      <c r="K71" s="65">
        <f t="shared" si="134"/>
        <v>963.2</v>
      </c>
      <c r="L71" s="65">
        <f t="shared" si="134"/>
        <v>1033.5</v>
      </c>
      <c r="M71" s="65">
        <f t="shared" si="134"/>
        <v>1139</v>
      </c>
      <c r="N71" s="65">
        <f t="shared" si="134"/>
        <v>1406.2</v>
      </c>
      <c r="O71" s="65">
        <f t="shared" si="134"/>
        <v>1511.6</v>
      </c>
      <c r="P71" s="65">
        <f t="shared" si="134"/>
        <v>2109.1999999999998</v>
      </c>
      <c r="Q71" s="56">
        <f t="shared" si="104"/>
        <v>706.4</v>
      </c>
      <c r="R71" s="55">
        <f>RCFs!$C$7</f>
        <v>17.66</v>
      </c>
      <c r="S71" s="65">
        <f t="shared" si="131"/>
        <v>918.3</v>
      </c>
      <c r="T71" s="65">
        <f t="shared" si="131"/>
        <v>1059.5999999999999</v>
      </c>
      <c r="U71" s="56">
        <f t="shared" si="106"/>
        <v>681.3</v>
      </c>
      <c r="V71" s="55">
        <f>RCFs!$C$9</f>
        <v>17.033999999999999</v>
      </c>
      <c r="W71" s="56">
        <f t="shared" si="89"/>
        <v>681.4</v>
      </c>
      <c r="X71" s="141">
        <f t="shared" si="107"/>
        <v>17.033999999999999</v>
      </c>
      <c r="Y71" s="65">
        <f t="shared" si="121"/>
        <v>749.5</v>
      </c>
      <c r="Z71" s="65">
        <f t="shared" si="121"/>
        <v>933.5</v>
      </c>
      <c r="AA71" s="65">
        <f t="shared" si="121"/>
        <v>1103.8</v>
      </c>
      <c r="AB71" s="65">
        <f t="shared" si="121"/>
        <v>1001.6</v>
      </c>
      <c r="AC71" s="65">
        <f t="shared" si="124"/>
        <v>1478.6</v>
      </c>
      <c r="AD71" s="65">
        <f t="shared" si="122"/>
        <v>2044.1</v>
      </c>
      <c r="AE71" s="56">
        <f t="shared" si="110"/>
        <v>659.2</v>
      </c>
      <c r="AF71" s="55">
        <f>RCFs!$C$13</f>
        <v>16.48</v>
      </c>
      <c r="AG71" s="61">
        <f t="shared" si="136"/>
        <v>1087.7</v>
      </c>
      <c r="AH71" s="61">
        <f t="shared" si="136"/>
        <v>1384.3</v>
      </c>
      <c r="AI71" s="61">
        <f t="shared" si="136"/>
        <v>1977.6</v>
      </c>
      <c r="AJ71" s="56">
        <f t="shared" si="92"/>
        <v>675</v>
      </c>
      <c r="AK71" s="141">
        <f>RCFs!$C$23</f>
        <v>16.876666666666669</v>
      </c>
      <c r="AL71" s="56">
        <f t="shared" si="93"/>
        <v>930.3</v>
      </c>
      <c r="AM71" s="141">
        <f>RCFs!$C$27</f>
        <v>23.256666666666668</v>
      </c>
      <c r="AN71" s="142">
        <f t="shared" si="94"/>
        <v>740.5</v>
      </c>
      <c r="AO71" s="141">
        <f>RCFs!$C$33</f>
        <v>18.513999999999999</v>
      </c>
      <c r="AP71" s="61">
        <f t="shared" si="95"/>
        <v>1110.7</v>
      </c>
      <c r="AQ71" s="142">
        <f t="shared" si="96"/>
        <v>692.2</v>
      </c>
      <c r="AR71" s="141">
        <f>RCFs!$C$35</f>
        <v>17.306666666666668</v>
      </c>
      <c r="AS71" s="61">
        <f t="shared" si="129"/>
        <v>899.8</v>
      </c>
      <c r="AT71" s="61">
        <f t="shared" si="129"/>
        <v>1003.6</v>
      </c>
      <c r="AU71" s="142">
        <f t="shared" si="108"/>
        <v>714.4</v>
      </c>
      <c r="AV71" s="141">
        <f>RCFs!$C$37</f>
        <v>17.86</v>
      </c>
      <c r="AW71" s="142">
        <f t="shared" si="102"/>
        <v>722.8</v>
      </c>
      <c r="AX71" s="141">
        <f>RCFs!$C$64</f>
        <v>18.07</v>
      </c>
      <c r="AY71" s="142">
        <f t="shared" si="108"/>
        <v>732.9</v>
      </c>
      <c r="AZ71" s="141">
        <f>RCFs!$C$39</f>
        <v>18.323333333333334</v>
      </c>
      <c r="BA71" s="141">
        <f t="shared" ref="BA71" si="145">ROUNDDOWN(BB71*$C71,1)</f>
        <v>703.1</v>
      </c>
      <c r="BB71" s="141">
        <f>RCFs!$C$41</f>
        <v>17.579000000000001</v>
      </c>
      <c r="BC71" s="84"/>
      <c r="BD71" s="84"/>
      <c r="BE71" s="84"/>
      <c r="BF71" s="84"/>
      <c r="BG71" s="84"/>
      <c r="BH71" s="84"/>
      <c r="BI71" s="84"/>
      <c r="BJ71" s="84"/>
      <c r="BK71" s="84"/>
      <c r="BL71" s="84"/>
      <c r="BM71" s="85"/>
      <c r="BN71" s="85"/>
      <c r="BO71" s="85"/>
      <c r="BP71" s="85"/>
      <c r="BQ71" s="85"/>
      <c r="BR71" s="85"/>
      <c r="BS71" s="85"/>
      <c r="BT71" s="85"/>
      <c r="BU71" s="85"/>
      <c r="BV71" s="85"/>
    </row>
    <row r="72" spans="1:74" s="86" customFormat="1" x14ac:dyDescent="0.2">
      <c r="A72" s="83" t="s">
        <v>253</v>
      </c>
      <c r="B72" s="63" t="s">
        <v>55</v>
      </c>
      <c r="C72" s="64">
        <v>30</v>
      </c>
      <c r="D72" s="56">
        <f t="shared" si="87"/>
        <v>2044.3</v>
      </c>
      <c r="E72" s="141">
        <f>RCFs!$C$43</f>
        <v>68.141894999999991</v>
      </c>
      <c r="F72" s="56">
        <f t="shared" si="99"/>
        <v>527.29999999999995</v>
      </c>
      <c r="G72" s="141">
        <f>RCFs!$C$5</f>
        <v>17.577000000000002</v>
      </c>
      <c r="H72" s="56">
        <f t="shared" si="103"/>
        <v>527.29999999999995</v>
      </c>
      <c r="I72" s="141">
        <f>RCFs!$C$5</f>
        <v>17.577000000000002</v>
      </c>
      <c r="J72" s="65">
        <f t="shared" ref="J72:P81" si="146">ROUND($C72*$I72*J$6,1)</f>
        <v>580</v>
      </c>
      <c r="K72" s="65">
        <f t="shared" si="146"/>
        <v>722.4</v>
      </c>
      <c r="L72" s="65">
        <f t="shared" si="146"/>
        <v>775.1</v>
      </c>
      <c r="M72" s="65">
        <f t="shared" si="146"/>
        <v>854.2</v>
      </c>
      <c r="N72" s="65">
        <f t="shared" si="146"/>
        <v>1054.5999999999999</v>
      </c>
      <c r="O72" s="65">
        <f t="shared" si="146"/>
        <v>1133.7</v>
      </c>
      <c r="P72" s="65">
        <f t="shared" si="146"/>
        <v>1581.9</v>
      </c>
      <c r="Q72" s="56">
        <f t="shared" si="104"/>
        <v>529.79999999999995</v>
      </c>
      <c r="R72" s="55">
        <f>RCFs!$C$7</f>
        <v>17.66</v>
      </c>
      <c r="S72" s="65">
        <f t="shared" si="131"/>
        <v>688.7</v>
      </c>
      <c r="T72" s="65">
        <f t="shared" si="131"/>
        <v>794.7</v>
      </c>
      <c r="U72" s="56">
        <f t="shared" si="106"/>
        <v>484</v>
      </c>
      <c r="V72" s="190">
        <f>RCFs!$S$54</f>
        <v>16.133333333333333</v>
      </c>
      <c r="W72" s="56">
        <f t="shared" si="89"/>
        <v>515.70000000000005</v>
      </c>
      <c r="X72" s="190">
        <f>RCFs!$S$56</f>
        <v>17.190000000000001</v>
      </c>
      <c r="Y72" s="65">
        <f t="shared" si="121"/>
        <v>567.29999999999995</v>
      </c>
      <c r="Z72" s="65">
        <f t="shared" si="121"/>
        <v>706.5</v>
      </c>
      <c r="AA72" s="65">
        <f t="shared" si="121"/>
        <v>835.4</v>
      </c>
      <c r="AB72" s="65">
        <f t="shared" si="121"/>
        <v>758.1</v>
      </c>
      <c r="AC72" s="65">
        <f t="shared" si="124"/>
        <v>1119.0999999999999</v>
      </c>
      <c r="AD72" s="65">
        <f t="shared" si="122"/>
        <v>1547.1</v>
      </c>
      <c r="AE72" s="56">
        <f t="shared" si="110"/>
        <v>494.4</v>
      </c>
      <c r="AF72" s="55">
        <f>RCFs!$C$13</f>
        <v>16.48</v>
      </c>
      <c r="AG72" s="61">
        <f t="shared" si="136"/>
        <v>815.8</v>
      </c>
      <c r="AH72" s="61">
        <f t="shared" si="136"/>
        <v>1038.2</v>
      </c>
      <c r="AI72" s="61">
        <f t="shared" si="136"/>
        <v>1483.2</v>
      </c>
      <c r="AJ72" s="56">
        <f t="shared" si="92"/>
        <v>506.3</v>
      </c>
      <c r="AK72" s="141">
        <f>RCFs!$C$23</f>
        <v>16.876666666666669</v>
      </c>
      <c r="AL72" s="56">
        <f t="shared" si="93"/>
        <v>697.7</v>
      </c>
      <c r="AM72" s="141">
        <f>RCFs!$C$27</f>
        <v>23.256666666666668</v>
      </c>
      <c r="AN72" s="142">
        <f t="shared" si="94"/>
        <v>555.4</v>
      </c>
      <c r="AO72" s="141">
        <f>RCFs!$C$33</f>
        <v>18.513999999999999</v>
      </c>
      <c r="AP72" s="61">
        <f t="shared" si="95"/>
        <v>833.1</v>
      </c>
      <c r="AQ72" s="142">
        <f t="shared" si="96"/>
        <v>519.20000000000005</v>
      </c>
      <c r="AR72" s="141">
        <f>RCFs!$C$35</f>
        <v>17.306666666666668</v>
      </c>
      <c r="AS72" s="61">
        <f t="shared" si="129"/>
        <v>674.9</v>
      </c>
      <c r="AT72" s="61">
        <f t="shared" si="129"/>
        <v>752.8</v>
      </c>
      <c r="AU72" s="142">
        <f t="shared" si="108"/>
        <v>535.79999999999995</v>
      </c>
      <c r="AV72" s="141">
        <f>RCFs!$C$37</f>
        <v>17.86</v>
      </c>
      <c r="AW72" s="142">
        <f t="shared" si="102"/>
        <v>542.1</v>
      </c>
      <c r="AX72" s="141">
        <f>RCFs!$C$64</f>
        <v>18.07</v>
      </c>
      <c r="AY72" s="142">
        <f t="shared" si="108"/>
        <v>549.70000000000005</v>
      </c>
      <c r="AZ72" s="141">
        <f>RCFs!$C$39</f>
        <v>18.323333333333334</v>
      </c>
      <c r="BA72" s="141">
        <f t="shared" ref="BA72" si="147">ROUNDDOWN(BB72*$C72,1)</f>
        <v>527.29999999999995</v>
      </c>
      <c r="BB72" s="141">
        <f>RCFs!$C$41</f>
        <v>17.579000000000001</v>
      </c>
      <c r="BC72" s="84"/>
      <c r="BD72" s="84"/>
      <c r="BE72" s="84"/>
      <c r="BF72" s="84"/>
      <c r="BG72" s="84"/>
      <c r="BH72" s="84"/>
      <c r="BI72" s="84"/>
      <c r="BJ72" s="84"/>
      <c r="BK72" s="84"/>
      <c r="BL72" s="84"/>
      <c r="BM72" s="85"/>
      <c r="BN72" s="85"/>
      <c r="BO72" s="85"/>
      <c r="BP72" s="85"/>
      <c r="BQ72" s="85"/>
      <c r="BR72" s="85"/>
      <c r="BS72" s="85"/>
      <c r="BT72" s="85"/>
      <c r="BU72" s="85"/>
      <c r="BV72" s="85"/>
    </row>
    <row r="73" spans="1:74" s="86" customFormat="1" x14ac:dyDescent="0.2">
      <c r="A73" s="83">
        <v>1205</v>
      </c>
      <c r="B73" s="63" t="s">
        <v>56</v>
      </c>
      <c r="C73" s="64">
        <v>100</v>
      </c>
      <c r="D73" s="56">
        <f t="shared" si="87"/>
        <v>6814.2</v>
      </c>
      <c r="E73" s="141">
        <f>RCFs!$C$43</f>
        <v>68.141894999999991</v>
      </c>
      <c r="F73" s="56">
        <f t="shared" si="99"/>
        <v>1757.7</v>
      </c>
      <c r="G73" s="141">
        <f>RCFs!$C$5</f>
        <v>17.577000000000002</v>
      </c>
      <c r="H73" s="56">
        <f t="shared" si="103"/>
        <v>1757.7</v>
      </c>
      <c r="I73" s="141">
        <f>RCFs!$C$5</f>
        <v>17.577000000000002</v>
      </c>
      <c r="J73" s="65">
        <f t="shared" si="146"/>
        <v>1933.5</v>
      </c>
      <c r="K73" s="65">
        <f t="shared" si="146"/>
        <v>2408</v>
      </c>
      <c r="L73" s="65">
        <f t="shared" si="146"/>
        <v>2583.8000000000002</v>
      </c>
      <c r="M73" s="65">
        <f t="shared" si="146"/>
        <v>2847.5</v>
      </c>
      <c r="N73" s="65">
        <f t="shared" si="146"/>
        <v>3515.4</v>
      </c>
      <c r="O73" s="65">
        <f t="shared" si="146"/>
        <v>3779.1</v>
      </c>
      <c r="P73" s="65">
        <f t="shared" si="146"/>
        <v>5273.1</v>
      </c>
      <c r="Q73" s="56">
        <f t="shared" si="104"/>
        <v>1766</v>
      </c>
      <c r="R73" s="55">
        <f>RCFs!$C$7</f>
        <v>17.66</v>
      </c>
      <c r="S73" s="65">
        <f t="shared" si="131"/>
        <v>2295.8000000000002</v>
      </c>
      <c r="T73" s="65">
        <f t="shared" si="131"/>
        <v>2649</v>
      </c>
      <c r="U73" s="56">
        <f t="shared" si="106"/>
        <v>1613.3</v>
      </c>
      <c r="V73" s="190">
        <f>RCFs!$S$54</f>
        <v>16.133333333333333</v>
      </c>
      <c r="W73" s="56">
        <f t="shared" si="89"/>
        <v>1719</v>
      </c>
      <c r="X73" s="190">
        <f>RCFs!$S$56</f>
        <v>17.190000000000001</v>
      </c>
      <c r="Y73" s="65">
        <f t="shared" si="121"/>
        <v>1890.9</v>
      </c>
      <c r="Z73" s="65">
        <f t="shared" si="121"/>
        <v>2355</v>
      </c>
      <c r="AA73" s="65">
        <f t="shared" si="121"/>
        <v>2784.8</v>
      </c>
      <c r="AB73" s="65">
        <f t="shared" si="121"/>
        <v>2526.9</v>
      </c>
      <c r="AC73" s="65">
        <f t="shared" si="124"/>
        <v>3730.2</v>
      </c>
      <c r="AD73" s="65">
        <f t="shared" si="122"/>
        <v>5157</v>
      </c>
      <c r="AE73" s="56">
        <f t="shared" si="110"/>
        <v>1648</v>
      </c>
      <c r="AF73" s="55">
        <f>RCFs!$C$13</f>
        <v>16.48</v>
      </c>
      <c r="AG73" s="61">
        <f t="shared" si="136"/>
        <v>2719.2</v>
      </c>
      <c r="AH73" s="61">
        <f t="shared" si="136"/>
        <v>3460.8</v>
      </c>
      <c r="AI73" s="61">
        <f t="shared" si="136"/>
        <v>4944</v>
      </c>
      <c r="AJ73" s="56">
        <f t="shared" si="92"/>
        <v>1687.6</v>
      </c>
      <c r="AK73" s="141">
        <f>RCFs!$C$23</f>
        <v>16.876666666666669</v>
      </c>
      <c r="AL73" s="56">
        <f t="shared" si="93"/>
        <v>2325.6999999999998</v>
      </c>
      <c r="AM73" s="141">
        <f>RCFs!$C$27</f>
        <v>23.256666666666668</v>
      </c>
      <c r="AN73" s="142">
        <f t="shared" si="94"/>
        <v>1851.4</v>
      </c>
      <c r="AO73" s="141">
        <f>RCFs!$C$33</f>
        <v>18.513999999999999</v>
      </c>
      <c r="AP73" s="61">
        <f t="shared" si="95"/>
        <v>2777.1</v>
      </c>
      <c r="AQ73" s="142">
        <f t="shared" si="96"/>
        <v>1730.6</v>
      </c>
      <c r="AR73" s="141">
        <f>RCFs!$C$35</f>
        <v>17.306666666666668</v>
      </c>
      <c r="AS73" s="61">
        <f t="shared" si="129"/>
        <v>2249.6999999999998</v>
      </c>
      <c r="AT73" s="61">
        <f t="shared" si="129"/>
        <v>2509.3000000000002</v>
      </c>
      <c r="AU73" s="142">
        <f t="shared" si="108"/>
        <v>1786</v>
      </c>
      <c r="AV73" s="141">
        <f>RCFs!$C$37</f>
        <v>17.86</v>
      </c>
      <c r="AW73" s="142">
        <f t="shared" si="102"/>
        <v>1807</v>
      </c>
      <c r="AX73" s="141">
        <f>RCFs!$C$64</f>
        <v>18.07</v>
      </c>
      <c r="AY73" s="142">
        <f t="shared" si="108"/>
        <v>1832.3</v>
      </c>
      <c r="AZ73" s="141">
        <f>RCFs!$C$39</f>
        <v>18.323333333333334</v>
      </c>
      <c r="BA73" s="141">
        <f t="shared" ref="BA73" si="148">ROUNDDOWN(BB73*$C73,1)</f>
        <v>1757.9</v>
      </c>
      <c r="BB73" s="141">
        <f>RCFs!$C$41</f>
        <v>17.579000000000001</v>
      </c>
      <c r="BC73" s="84"/>
      <c r="BD73" s="84"/>
      <c r="BE73" s="84"/>
      <c r="BF73" s="84"/>
      <c r="BG73" s="84"/>
      <c r="BH73" s="84"/>
      <c r="BI73" s="84"/>
      <c r="BJ73" s="84"/>
      <c r="BK73" s="84"/>
      <c r="BL73" s="84"/>
      <c r="BM73" s="85"/>
      <c r="BN73" s="85"/>
      <c r="BO73" s="85"/>
      <c r="BP73" s="85"/>
      <c r="BQ73" s="85"/>
      <c r="BR73" s="85"/>
      <c r="BS73" s="85"/>
      <c r="BT73" s="85"/>
      <c r="BU73" s="85"/>
      <c r="BV73" s="85"/>
    </row>
    <row r="74" spans="1:74" s="86" customFormat="1" x14ac:dyDescent="0.2">
      <c r="A74" s="83">
        <v>1206</v>
      </c>
      <c r="B74" s="63" t="s">
        <v>57</v>
      </c>
      <c r="C74" s="64">
        <v>50</v>
      </c>
      <c r="D74" s="56">
        <f t="shared" si="87"/>
        <v>3407.1</v>
      </c>
      <c r="E74" s="141">
        <f>RCFs!$C$43</f>
        <v>68.141894999999991</v>
      </c>
      <c r="F74" s="56">
        <f t="shared" si="99"/>
        <v>878.9</v>
      </c>
      <c r="G74" s="141">
        <f>RCFs!$C$5</f>
        <v>17.577000000000002</v>
      </c>
      <c r="H74" s="56">
        <f t="shared" si="103"/>
        <v>878.9</v>
      </c>
      <c r="I74" s="141">
        <f>RCFs!$C$5</f>
        <v>17.577000000000002</v>
      </c>
      <c r="J74" s="65">
        <f t="shared" si="146"/>
        <v>966.7</v>
      </c>
      <c r="K74" s="65">
        <f t="shared" si="146"/>
        <v>1204</v>
      </c>
      <c r="L74" s="65">
        <f t="shared" si="146"/>
        <v>1291.9000000000001</v>
      </c>
      <c r="M74" s="65">
        <f t="shared" si="146"/>
        <v>1423.7</v>
      </c>
      <c r="N74" s="65">
        <f t="shared" si="146"/>
        <v>1757.7</v>
      </c>
      <c r="O74" s="65">
        <f t="shared" si="146"/>
        <v>1889.5</v>
      </c>
      <c r="P74" s="65">
        <f t="shared" si="146"/>
        <v>2636.6</v>
      </c>
      <c r="Q74" s="56">
        <f t="shared" si="104"/>
        <v>883</v>
      </c>
      <c r="R74" s="55">
        <f>RCFs!$C$7</f>
        <v>17.66</v>
      </c>
      <c r="S74" s="65">
        <f t="shared" si="131"/>
        <v>1147.9000000000001</v>
      </c>
      <c r="T74" s="65">
        <f t="shared" si="131"/>
        <v>1324.5</v>
      </c>
      <c r="U74" s="56">
        <f t="shared" si="106"/>
        <v>806.6</v>
      </c>
      <c r="V74" s="190">
        <f>RCFs!$S$54</f>
        <v>16.133333333333333</v>
      </c>
      <c r="W74" s="56">
        <f t="shared" si="89"/>
        <v>859.5</v>
      </c>
      <c r="X74" s="190">
        <f>RCFs!$S$56</f>
        <v>17.190000000000001</v>
      </c>
      <c r="Y74" s="65">
        <f t="shared" ref="Y74:AB93" si="149">ROUND($C74*$X74*Y$6,1)</f>
        <v>945.5</v>
      </c>
      <c r="Z74" s="65">
        <f t="shared" si="149"/>
        <v>1177.5</v>
      </c>
      <c r="AA74" s="65">
        <f t="shared" si="149"/>
        <v>1392.4</v>
      </c>
      <c r="AB74" s="65">
        <f t="shared" si="149"/>
        <v>1263.5</v>
      </c>
      <c r="AC74" s="65">
        <f t="shared" si="124"/>
        <v>1865.1</v>
      </c>
      <c r="AD74" s="65">
        <f t="shared" si="122"/>
        <v>2578.5</v>
      </c>
      <c r="AE74" s="56">
        <f t="shared" si="110"/>
        <v>824</v>
      </c>
      <c r="AF74" s="55">
        <f>RCFs!$C$13</f>
        <v>16.48</v>
      </c>
      <c r="AG74" s="61">
        <f t="shared" si="136"/>
        <v>1359.6</v>
      </c>
      <c r="AH74" s="61">
        <f t="shared" si="136"/>
        <v>1730.4</v>
      </c>
      <c r="AI74" s="61">
        <f t="shared" si="136"/>
        <v>2472</v>
      </c>
      <c r="AJ74" s="56">
        <f t="shared" ref="AJ74:AJ105" si="150">ROUNDDOWN(AK74*C74,1)</f>
        <v>843.8</v>
      </c>
      <c r="AK74" s="141">
        <f>RCFs!$C$23</f>
        <v>16.876666666666669</v>
      </c>
      <c r="AL74" s="56">
        <f t="shared" ref="AL74:AL105" si="151">ROUND(AM74*C74,1)</f>
        <v>1162.8</v>
      </c>
      <c r="AM74" s="141">
        <f>RCFs!$C$27</f>
        <v>23.256666666666668</v>
      </c>
      <c r="AN74" s="142">
        <f t="shared" ref="AN74:AN105" si="152">ROUNDDOWN(AO74*C74,1)</f>
        <v>925.7</v>
      </c>
      <c r="AO74" s="141">
        <f>RCFs!$C$33</f>
        <v>18.513999999999999</v>
      </c>
      <c r="AP74" s="61">
        <f t="shared" si="95"/>
        <v>1388.5</v>
      </c>
      <c r="AQ74" s="142">
        <f t="shared" ref="AQ74:AQ105" si="153">ROUNDDOWN(AR74*C74,1)</f>
        <v>865.3</v>
      </c>
      <c r="AR74" s="141">
        <f>RCFs!$C$35</f>
        <v>17.306666666666668</v>
      </c>
      <c r="AS74" s="61">
        <f t="shared" si="129"/>
        <v>1124.8</v>
      </c>
      <c r="AT74" s="61">
        <f t="shared" si="129"/>
        <v>1254.5999999999999</v>
      </c>
      <c r="AU74" s="142">
        <f t="shared" si="108"/>
        <v>893</v>
      </c>
      <c r="AV74" s="141">
        <f>RCFs!$C$37</f>
        <v>17.86</v>
      </c>
      <c r="AW74" s="142">
        <f t="shared" si="102"/>
        <v>903.5</v>
      </c>
      <c r="AX74" s="141">
        <f>RCFs!$C$64</f>
        <v>18.07</v>
      </c>
      <c r="AY74" s="142">
        <f t="shared" si="108"/>
        <v>916.1</v>
      </c>
      <c r="AZ74" s="141">
        <f>RCFs!$C$39</f>
        <v>18.323333333333334</v>
      </c>
      <c r="BA74" s="141">
        <f t="shared" ref="BA74" si="154">ROUNDDOWN(BB74*$C74,1)</f>
        <v>878.9</v>
      </c>
      <c r="BB74" s="141">
        <f>RCFs!$C$41</f>
        <v>17.579000000000001</v>
      </c>
      <c r="BC74" s="84"/>
      <c r="BD74" s="84"/>
      <c r="BE74" s="84"/>
      <c r="BF74" s="84"/>
      <c r="BG74" s="84"/>
      <c r="BH74" s="84"/>
      <c r="BI74" s="84"/>
      <c r="BJ74" s="84"/>
      <c r="BK74" s="84"/>
      <c r="BL74" s="84"/>
      <c r="BM74" s="85"/>
      <c r="BN74" s="85"/>
      <c r="BO74" s="85"/>
      <c r="BP74" s="85"/>
      <c r="BQ74" s="85"/>
      <c r="BR74" s="85"/>
      <c r="BS74" s="85"/>
      <c r="BT74" s="85"/>
      <c r="BU74" s="85"/>
      <c r="BV74" s="85"/>
    </row>
    <row r="75" spans="1:74" s="86" customFormat="1" x14ac:dyDescent="0.2">
      <c r="A75" s="83">
        <v>1207</v>
      </c>
      <c r="B75" s="63" t="s">
        <v>58</v>
      </c>
      <c r="C75" s="64">
        <v>30</v>
      </c>
      <c r="D75" s="56">
        <f t="shared" ref="D75:D106" si="155">ROUND(E75*C75,1)</f>
        <v>2044.3</v>
      </c>
      <c r="E75" s="141">
        <f>RCFs!$C$43</f>
        <v>68.141894999999991</v>
      </c>
      <c r="F75" s="56">
        <f t="shared" si="99"/>
        <v>527.29999999999995</v>
      </c>
      <c r="G75" s="141">
        <f>RCFs!$C$5</f>
        <v>17.577000000000002</v>
      </c>
      <c r="H75" s="56">
        <f t="shared" si="103"/>
        <v>527.29999999999995</v>
      </c>
      <c r="I75" s="141">
        <f>RCFs!$C$5</f>
        <v>17.577000000000002</v>
      </c>
      <c r="J75" s="65">
        <f t="shared" si="146"/>
        <v>580</v>
      </c>
      <c r="K75" s="65">
        <f t="shared" si="146"/>
        <v>722.4</v>
      </c>
      <c r="L75" s="65">
        <f t="shared" si="146"/>
        <v>775.1</v>
      </c>
      <c r="M75" s="65">
        <f t="shared" si="146"/>
        <v>854.2</v>
      </c>
      <c r="N75" s="65">
        <f t="shared" si="146"/>
        <v>1054.5999999999999</v>
      </c>
      <c r="O75" s="65">
        <f t="shared" si="146"/>
        <v>1133.7</v>
      </c>
      <c r="P75" s="65">
        <f t="shared" si="146"/>
        <v>1581.9</v>
      </c>
      <c r="Q75" s="56">
        <f t="shared" si="104"/>
        <v>529.79999999999995</v>
      </c>
      <c r="R75" s="55">
        <f>RCFs!$C$7</f>
        <v>17.66</v>
      </c>
      <c r="S75" s="65">
        <f t="shared" si="131"/>
        <v>688.7</v>
      </c>
      <c r="T75" s="65">
        <f t="shared" si="131"/>
        <v>794.7</v>
      </c>
      <c r="U75" s="56">
        <f t="shared" si="106"/>
        <v>484</v>
      </c>
      <c r="V75" s="190">
        <f>RCFs!$S$54</f>
        <v>16.133333333333333</v>
      </c>
      <c r="W75" s="56">
        <f t="shared" si="89"/>
        <v>515.70000000000005</v>
      </c>
      <c r="X75" s="190">
        <f>RCFs!$S$56</f>
        <v>17.190000000000001</v>
      </c>
      <c r="Y75" s="65">
        <f t="shared" si="149"/>
        <v>567.29999999999995</v>
      </c>
      <c r="Z75" s="65">
        <f t="shared" si="149"/>
        <v>706.5</v>
      </c>
      <c r="AA75" s="65">
        <f t="shared" si="149"/>
        <v>835.4</v>
      </c>
      <c r="AB75" s="65">
        <f t="shared" si="149"/>
        <v>758.1</v>
      </c>
      <c r="AC75" s="65">
        <f t="shared" si="124"/>
        <v>1119.0999999999999</v>
      </c>
      <c r="AD75" s="65">
        <f t="shared" si="122"/>
        <v>1547.1</v>
      </c>
      <c r="AE75" s="56">
        <f t="shared" si="110"/>
        <v>494.4</v>
      </c>
      <c r="AF75" s="55">
        <f>RCFs!$C$13</f>
        <v>16.48</v>
      </c>
      <c r="AG75" s="61">
        <f t="shared" si="136"/>
        <v>815.8</v>
      </c>
      <c r="AH75" s="61">
        <f t="shared" si="136"/>
        <v>1038.2</v>
      </c>
      <c r="AI75" s="61">
        <f t="shared" si="136"/>
        <v>1483.2</v>
      </c>
      <c r="AJ75" s="56">
        <f t="shared" si="150"/>
        <v>506.3</v>
      </c>
      <c r="AK75" s="141">
        <f>RCFs!$C$23</f>
        <v>16.876666666666669</v>
      </c>
      <c r="AL75" s="56">
        <f t="shared" si="151"/>
        <v>697.7</v>
      </c>
      <c r="AM75" s="141">
        <f>RCFs!$C$27</f>
        <v>23.256666666666668</v>
      </c>
      <c r="AN75" s="142">
        <f t="shared" si="152"/>
        <v>555.4</v>
      </c>
      <c r="AO75" s="141">
        <f>RCFs!$C$33</f>
        <v>18.513999999999999</v>
      </c>
      <c r="AP75" s="61">
        <f t="shared" si="95"/>
        <v>833.1</v>
      </c>
      <c r="AQ75" s="142">
        <f t="shared" si="153"/>
        <v>519.20000000000005</v>
      </c>
      <c r="AR75" s="141">
        <f>RCFs!$C$35</f>
        <v>17.306666666666668</v>
      </c>
      <c r="AS75" s="61">
        <f t="shared" si="129"/>
        <v>674.9</v>
      </c>
      <c r="AT75" s="61">
        <f t="shared" si="129"/>
        <v>752.8</v>
      </c>
      <c r="AU75" s="142">
        <f t="shared" si="108"/>
        <v>535.79999999999995</v>
      </c>
      <c r="AV75" s="141">
        <f>RCFs!$C$37</f>
        <v>17.86</v>
      </c>
      <c r="AW75" s="142">
        <f t="shared" si="102"/>
        <v>542.1</v>
      </c>
      <c r="AX75" s="141">
        <f>RCFs!$C$64</f>
        <v>18.07</v>
      </c>
      <c r="AY75" s="142">
        <f t="shared" si="108"/>
        <v>549.70000000000005</v>
      </c>
      <c r="AZ75" s="141">
        <f>RCFs!$C$39</f>
        <v>18.323333333333334</v>
      </c>
      <c r="BA75" s="141">
        <f t="shared" ref="BA75" si="156">ROUNDDOWN(BB75*$C75,1)</f>
        <v>527.29999999999995</v>
      </c>
      <c r="BB75" s="141">
        <f>RCFs!$C$41</f>
        <v>17.579000000000001</v>
      </c>
      <c r="BC75" s="84"/>
      <c r="BD75" s="84"/>
      <c r="BE75" s="84"/>
      <c r="BF75" s="84"/>
      <c r="BG75" s="84"/>
      <c r="BH75" s="84"/>
      <c r="BI75" s="84"/>
      <c r="BJ75" s="84"/>
      <c r="BK75" s="84"/>
      <c r="BL75" s="84"/>
      <c r="BM75" s="85"/>
      <c r="BN75" s="85"/>
      <c r="BO75" s="85"/>
      <c r="BP75" s="85"/>
      <c r="BQ75" s="85"/>
      <c r="BR75" s="85"/>
      <c r="BS75" s="85"/>
      <c r="BT75" s="85"/>
      <c r="BU75" s="85"/>
      <c r="BV75" s="85"/>
    </row>
    <row r="76" spans="1:74" s="86" customFormat="1" ht="25.5" x14ac:dyDescent="0.2">
      <c r="A76" s="83">
        <v>1208</v>
      </c>
      <c r="B76" s="63" t="s">
        <v>59</v>
      </c>
      <c r="C76" s="64">
        <v>137</v>
      </c>
      <c r="D76" s="56">
        <f t="shared" si="155"/>
        <v>9335.4</v>
      </c>
      <c r="E76" s="141">
        <f>RCFs!$C$43</f>
        <v>68.141894999999991</v>
      </c>
      <c r="F76" s="56">
        <f t="shared" si="99"/>
        <v>2408</v>
      </c>
      <c r="G76" s="141">
        <f>RCFs!$C$5</f>
        <v>17.577000000000002</v>
      </c>
      <c r="H76" s="56">
        <f t="shared" si="103"/>
        <v>2408</v>
      </c>
      <c r="I76" s="141">
        <f>RCFs!$C$5</f>
        <v>17.577000000000002</v>
      </c>
      <c r="J76" s="65">
        <f t="shared" si="146"/>
        <v>2648.9</v>
      </c>
      <c r="K76" s="65">
        <f t="shared" si="146"/>
        <v>3299</v>
      </c>
      <c r="L76" s="65">
        <f t="shared" si="146"/>
        <v>3539.8</v>
      </c>
      <c r="M76" s="65">
        <f t="shared" si="146"/>
        <v>3901</v>
      </c>
      <c r="N76" s="65">
        <f t="shared" si="146"/>
        <v>4816.1000000000004</v>
      </c>
      <c r="O76" s="65">
        <f t="shared" si="146"/>
        <v>5177.3</v>
      </c>
      <c r="P76" s="65">
        <f t="shared" si="146"/>
        <v>7224.1</v>
      </c>
      <c r="Q76" s="56">
        <f t="shared" si="104"/>
        <v>2419.4</v>
      </c>
      <c r="R76" s="55">
        <f>RCFs!$C$7</f>
        <v>17.66</v>
      </c>
      <c r="S76" s="65">
        <f t="shared" si="131"/>
        <v>3145.2</v>
      </c>
      <c r="T76" s="65">
        <f t="shared" si="131"/>
        <v>3629.1</v>
      </c>
      <c r="U76" s="56">
        <f t="shared" si="106"/>
        <v>2210.1999999999998</v>
      </c>
      <c r="V76" s="190">
        <f>RCFs!$S$54</f>
        <v>16.133333333333333</v>
      </c>
      <c r="W76" s="56">
        <f t="shared" si="89"/>
        <v>2355</v>
      </c>
      <c r="X76" s="190">
        <f>RCFs!$S$56</f>
        <v>17.190000000000001</v>
      </c>
      <c r="Y76" s="65">
        <f t="shared" si="149"/>
        <v>2590.5</v>
      </c>
      <c r="Z76" s="65">
        <f t="shared" si="149"/>
        <v>3226.4</v>
      </c>
      <c r="AA76" s="65">
        <f t="shared" si="149"/>
        <v>3815.1</v>
      </c>
      <c r="AB76" s="65">
        <f t="shared" si="149"/>
        <v>3461.9</v>
      </c>
      <c r="AC76" s="65">
        <f t="shared" si="124"/>
        <v>5110.3999999999996</v>
      </c>
      <c r="AD76" s="65">
        <f t="shared" si="122"/>
        <v>7065.1</v>
      </c>
      <c r="AE76" s="56">
        <f t="shared" si="110"/>
        <v>2257.8000000000002</v>
      </c>
      <c r="AF76" s="55">
        <f>RCFs!$C$13</f>
        <v>16.48</v>
      </c>
      <c r="AG76" s="61">
        <f t="shared" si="136"/>
        <v>3725.4</v>
      </c>
      <c r="AH76" s="61">
        <f t="shared" si="136"/>
        <v>4741.3999999999996</v>
      </c>
      <c r="AI76" s="61">
        <f t="shared" si="136"/>
        <v>6773.4</v>
      </c>
      <c r="AJ76" s="56">
        <f t="shared" si="150"/>
        <v>2312.1</v>
      </c>
      <c r="AK76" s="141">
        <f>RCFs!$C$23</f>
        <v>16.876666666666669</v>
      </c>
      <c r="AL76" s="56">
        <f t="shared" si="151"/>
        <v>3186.2</v>
      </c>
      <c r="AM76" s="141">
        <f>RCFs!$C$27</f>
        <v>23.256666666666668</v>
      </c>
      <c r="AN76" s="142">
        <f t="shared" si="152"/>
        <v>2536.4</v>
      </c>
      <c r="AO76" s="141">
        <f>RCFs!$C$33</f>
        <v>18.513999999999999</v>
      </c>
      <c r="AP76" s="61">
        <f t="shared" si="95"/>
        <v>3804.6</v>
      </c>
      <c r="AQ76" s="142">
        <f t="shared" si="153"/>
        <v>2371</v>
      </c>
      <c r="AR76" s="141">
        <f>RCFs!$C$35</f>
        <v>17.306666666666668</v>
      </c>
      <c r="AS76" s="61">
        <f t="shared" si="129"/>
        <v>3082.3</v>
      </c>
      <c r="AT76" s="61">
        <f t="shared" si="129"/>
        <v>3437.9</v>
      </c>
      <c r="AU76" s="142">
        <f t="shared" si="108"/>
        <v>2446.8000000000002</v>
      </c>
      <c r="AV76" s="141">
        <f>RCFs!$C$37</f>
        <v>17.86</v>
      </c>
      <c r="AW76" s="142">
        <f t="shared" si="102"/>
        <v>2475.5</v>
      </c>
      <c r="AX76" s="141">
        <f>RCFs!$C$64</f>
        <v>18.07</v>
      </c>
      <c r="AY76" s="142">
        <f t="shared" si="108"/>
        <v>2510.1999999999998</v>
      </c>
      <c r="AZ76" s="141">
        <f>RCFs!$C$39</f>
        <v>18.323333333333334</v>
      </c>
      <c r="BA76" s="141">
        <f t="shared" ref="BA76" si="157">ROUNDDOWN(BB76*$C76,1)</f>
        <v>2408.3000000000002</v>
      </c>
      <c r="BB76" s="141">
        <f>RCFs!$C$41</f>
        <v>17.579000000000001</v>
      </c>
      <c r="BC76" s="84"/>
      <c r="BD76" s="84"/>
      <c r="BE76" s="84"/>
      <c r="BF76" s="84"/>
      <c r="BG76" s="84"/>
      <c r="BH76" s="84"/>
      <c r="BI76" s="84"/>
      <c r="BJ76" s="84"/>
      <c r="BK76" s="84"/>
      <c r="BL76" s="84"/>
      <c r="BM76" s="85"/>
      <c r="BN76" s="85"/>
      <c r="BO76" s="85"/>
      <c r="BP76" s="85"/>
      <c r="BQ76" s="85"/>
      <c r="BR76" s="85"/>
      <c r="BS76" s="85"/>
      <c r="BT76" s="85"/>
      <c r="BU76" s="85"/>
      <c r="BV76" s="85"/>
    </row>
    <row r="77" spans="1:74" s="86" customFormat="1" x14ac:dyDescent="0.2">
      <c r="A77" s="83">
        <v>1209</v>
      </c>
      <c r="B77" s="63" t="s">
        <v>60</v>
      </c>
      <c r="C77" s="64">
        <v>58</v>
      </c>
      <c r="D77" s="56">
        <f t="shared" si="155"/>
        <v>3952.2</v>
      </c>
      <c r="E77" s="141">
        <f>RCFs!$C$43</f>
        <v>68.141894999999991</v>
      </c>
      <c r="F77" s="56">
        <f t="shared" si="99"/>
        <v>1019.5</v>
      </c>
      <c r="G77" s="141">
        <f>RCFs!$C$5</f>
        <v>17.577000000000002</v>
      </c>
      <c r="H77" s="56">
        <f t="shared" si="103"/>
        <v>1019.5</v>
      </c>
      <c r="I77" s="141">
        <f>RCFs!$C$5</f>
        <v>17.577000000000002</v>
      </c>
      <c r="J77" s="65">
        <f t="shared" si="146"/>
        <v>1121.4000000000001</v>
      </c>
      <c r="K77" s="65">
        <f t="shared" si="146"/>
        <v>1396.7</v>
      </c>
      <c r="L77" s="65">
        <f t="shared" si="146"/>
        <v>1498.6</v>
      </c>
      <c r="M77" s="65">
        <f t="shared" si="146"/>
        <v>1651.5</v>
      </c>
      <c r="N77" s="65">
        <f t="shared" si="146"/>
        <v>2038.9</v>
      </c>
      <c r="O77" s="65">
        <f t="shared" si="146"/>
        <v>2191.9</v>
      </c>
      <c r="P77" s="65">
        <f t="shared" si="146"/>
        <v>3058.4</v>
      </c>
      <c r="Q77" s="56">
        <f t="shared" si="104"/>
        <v>1024.3</v>
      </c>
      <c r="R77" s="55">
        <f>RCFs!$C$7</f>
        <v>17.66</v>
      </c>
      <c r="S77" s="65">
        <f t="shared" si="131"/>
        <v>1331.5</v>
      </c>
      <c r="T77" s="65">
        <f t="shared" si="131"/>
        <v>1536.4</v>
      </c>
      <c r="U77" s="56">
        <f t="shared" si="106"/>
        <v>935.7</v>
      </c>
      <c r="V77" s="190">
        <f>RCFs!$S$54</f>
        <v>16.133333333333333</v>
      </c>
      <c r="W77" s="56">
        <f t="shared" si="89"/>
        <v>997</v>
      </c>
      <c r="X77" s="190">
        <f>RCFs!$S$56</f>
        <v>17.190000000000001</v>
      </c>
      <c r="Y77" s="65">
        <f t="shared" si="149"/>
        <v>1096.7</v>
      </c>
      <c r="Z77" s="65">
        <f t="shared" si="149"/>
        <v>1365.9</v>
      </c>
      <c r="AA77" s="65">
        <f t="shared" si="149"/>
        <v>1615.2</v>
      </c>
      <c r="AB77" s="65">
        <f t="shared" si="149"/>
        <v>1465.6</v>
      </c>
      <c r="AC77" s="65">
        <f t="shared" si="124"/>
        <v>2163.5</v>
      </c>
      <c r="AD77" s="65">
        <f t="shared" si="122"/>
        <v>2991.1</v>
      </c>
      <c r="AE77" s="56">
        <f t="shared" ref="AE77:AE108" si="158">ROUND(AF77*C77,1)</f>
        <v>955.8</v>
      </c>
      <c r="AF77" s="55">
        <f>RCFs!$C$13</f>
        <v>16.48</v>
      </c>
      <c r="AG77" s="61">
        <f t="shared" si="136"/>
        <v>1577.1</v>
      </c>
      <c r="AH77" s="61">
        <f t="shared" si="136"/>
        <v>2007.2</v>
      </c>
      <c r="AI77" s="61">
        <f t="shared" si="136"/>
        <v>2867.4</v>
      </c>
      <c r="AJ77" s="56">
        <f t="shared" si="150"/>
        <v>978.8</v>
      </c>
      <c r="AK77" s="141">
        <f>RCFs!$C$23</f>
        <v>16.876666666666669</v>
      </c>
      <c r="AL77" s="56">
        <f t="shared" si="151"/>
        <v>1348.9</v>
      </c>
      <c r="AM77" s="141">
        <f>RCFs!$C$27</f>
        <v>23.256666666666668</v>
      </c>
      <c r="AN77" s="142">
        <f t="shared" si="152"/>
        <v>1073.8</v>
      </c>
      <c r="AO77" s="141">
        <f>RCFs!$C$33</f>
        <v>18.513999999999999</v>
      </c>
      <c r="AP77" s="61">
        <f t="shared" si="95"/>
        <v>1610.7</v>
      </c>
      <c r="AQ77" s="142">
        <f t="shared" si="153"/>
        <v>1003.7</v>
      </c>
      <c r="AR77" s="141">
        <f>RCFs!$C$35</f>
        <v>17.306666666666668</v>
      </c>
      <c r="AS77" s="61">
        <f t="shared" si="129"/>
        <v>1304.8</v>
      </c>
      <c r="AT77" s="61">
        <f t="shared" si="129"/>
        <v>1455.3</v>
      </c>
      <c r="AU77" s="142">
        <f t="shared" si="108"/>
        <v>1035.8</v>
      </c>
      <c r="AV77" s="141">
        <f>RCFs!$C$37</f>
        <v>17.86</v>
      </c>
      <c r="AW77" s="142">
        <f t="shared" si="102"/>
        <v>1048</v>
      </c>
      <c r="AX77" s="141">
        <f>RCFs!$C$64</f>
        <v>18.07</v>
      </c>
      <c r="AY77" s="142">
        <f t="shared" si="108"/>
        <v>1062.7</v>
      </c>
      <c r="AZ77" s="141">
        <f>RCFs!$C$39</f>
        <v>18.323333333333334</v>
      </c>
      <c r="BA77" s="141">
        <f t="shared" ref="BA77" si="159">ROUNDDOWN(BB77*$C77,1)</f>
        <v>1019.5</v>
      </c>
      <c r="BB77" s="141">
        <f>RCFs!$C$41</f>
        <v>17.579000000000001</v>
      </c>
      <c r="BC77" s="84"/>
      <c r="BD77" s="84"/>
      <c r="BE77" s="84"/>
      <c r="BF77" s="84"/>
      <c r="BG77" s="84"/>
      <c r="BH77" s="84"/>
      <c r="BI77" s="84"/>
      <c r="BJ77" s="84"/>
      <c r="BK77" s="84"/>
      <c r="BL77" s="84"/>
      <c r="BM77" s="85"/>
      <c r="BN77" s="85"/>
      <c r="BO77" s="85"/>
      <c r="BP77" s="85"/>
      <c r="BQ77" s="85"/>
      <c r="BR77" s="85"/>
      <c r="BS77" s="85"/>
      <c r="BT77" s="85"/>
      <c r="BU77" s="85"/>
      <c r="BV77" s="85"/>
    </row>
    <row r="78" spans="1:74" s="86" customFormat="1" ht="25.5" x14ac:dyDescent="0.2">
      <c r="A78" s="83">
        <v>1210</v>
      </c>
      <c r="B78" s="63" t="s">
        <v>158</v>
      </c>
      <c r="C78" s="64">
        <v>50</v>
      </c>
      <c r="D78" s="56">
        <f t="shared" si="155"/>
        <v>3407.1</v>
      </c>
      <c r="E78" s="141">
        <f>RCFs!$C$43</f>
        <v>68.141894999999991</v>
      </c>
      <c r="F78" s="56">
        <f t="shared" si="99"/>
        <v>878.9</v>
      </c>
      <c r="G78" s="141">
        <f>RCFs!$C$5</f>
        <v>17.577000000000002</v>
      </c>
      <c r="H78" s="56">
        <f t="shared" si="103"/>
        <v>878.9</v>
      </c>
      <c r="I78" s="141">
        <f>RCFs!$C$5</f>
        <v>17.577000000000002</v>
      </c>
      <c r="J78" s="65">
        <f t="shared" si="146"/>
        <v>966.7</v>
      </c>
      <c r="K78" s="65">
        <f t="shared" si="146"/>
        <v>1204</v>
      </c>
      <c r="L78" s="65">
        <f t="shared" si="146"/>
        <v>1291.9000000000001</v>
      </c>
      <c r="M78" s="65">
        <f t="shared" si="146"/>
        <v>1423.7</v>
      </c>
      <c r="N78" s="65">
        <f t="shared" si="146"/>
        <v>1757.7</v>
      </c>
      <c r="O78" s="65">
        <f t="shared" si="146"/>
        <v>1889.5</v>
      </c>
      <c r="P78" s="65">
        <f t="shared" si="146"/>
        <v>2636.6</v>
      </c>
      <c r="Q78" s="56">
        <f t="shared" si="104"/>
        <v>883</v>
      </c>
      <c r="R78" s="55">
        <f>RCFs!$C$7</f>
        <v>17.66</v>
      </c>
      <c r="S78" s="65">
        <f t="shared" si="131"/>
        <v>1147.9000000000001</v>
      </c>
      <c r="T78" s="65">
        <f t="shared" si="131"/>
        <v>1324.5</v>
      </c>
      <c r="U78" s="56">
        <f t="shared" si="106"/>
        <v>806.6</v>
      </c>
      <c r="V78" s="190">
        <f>RCFs!$S$54</f>
        <v>16.133333333333333</v>
      </c>
      <c r="W78" s="56">
        <f t="shared" si="89"/>
        <v>859.5</v>
      </c>
      <c r="X78" s="190">
        <f>RCFs!$S$56</f>
        <v>17.190000000000001</v>
      </c>
      <c r="Y78" s="65">
        <f t="shared" si="149"/>
        <v>945.5</v>
      </c>
      <c r="Z78" s="65">
        <f t="shared" si="149"/>
        <v>1177.5</v>
      </c>
      <c r="AA78" s="65">
        <f t="shared" si="149"/>
        <v>1392.4</v>
      </c>
      <c r="AB78" s="65">
        <f t="shared" si="149"/>
        <v>1263.5</v>
      </c>
      <c r="AC78" s="65">
        <f t="shared" si="124"/>
        <v>1865.1</v>
      </c>
      <c r="AD78" s="65">
        <f t="shared" si="122"/>
        <v>2578.5</v>
      </c>
      <c r="AE78" s="56">
        <f t="shared" si="158"/>
        <v>824</v>
      </c>
      <c r="AF78" s="55">
        <f>RCFs!$C$13</f>
        <v>16.48</v>
      </c>
      <c r="AG78" s="61">
        <f t="shared" si="136"/>
        <v>1359.6</v>
      </c>
      <c r="AH78" s="61">
        <f t="shared" si="136"/>
        <v>1730.4</v>
      </c>
      <c r="AI78" s="61">
        <f t="shared" si="136"/>
        <v>2472</v>
      </c>
      <c r="AJ78" s="56">
        <f t="shared" si="150"/>
        <v>843.8</v>
      </c>
      <c r="AK78" s="141">
        <f>RCFs!$C$23</f>
        <v>16.876666666666669</v>
      </c>
      <c r="AL78" s="56">
        <f t="shared" si="151"/>
        <v>1162.8</v>
      </c>
      <c r="AM78" s="141">
        <f>RCFs!$C$27</f>
        <v>23.256666666666668</v>
      </c>
      <c r="AN78" s="142">
        <f t="shared" si="152"/>
        <v>925.7</v>
      </c>
      <c r="AO78" s="141">
        <f>RCFs!$C$33</f>
        <v>18.513999999999999</v>
      </c>
      <c r="AP78" s="61">
        <f t="shared" si="95"/>
        <v>1388.5</v>
      </c>
      <c r="AQ78" s="142">
        <f t="shared" si="153"/>
        <v>865.3</v>
      </c>
      <c r="AR78" s="141">
        <f>RCFs!$C$35</f>
        <v>17.306666666666668</v>
      </c>
      <c r="AS78" s="61">
        <f t="shared" si="129"/>
        <v>1124.8</v>
      </c>
      <c r="AT78" s="61">
        <f t="shared" si="129"/>
        <v>1254.5999999999999</v>
      </c>
      <c r="AU78" s="142">
        <f t="shared" si="108"/>
        <v>893</v>
      </c>
      <c r="AV78" s="141">
        <f>RCFs!$C$37</f>
        <v>17.86</v>
      </c>
      <c r="AW78" s="142">
        <f t="shared" si="102"/>
        <v>903.5</v>
      </c>
      <c r="AX78" s="141">
        <f>RCFs!$C$64</f>
        <v>18.07</v>
      </c>
      <c r="AY78" s="142">
        <f t="shared" si="108"/>
        <v>916.1</v>
      </c>
      <c r="AZ78" s="141">
        <f>RCFs!$C$39</f>
        <v>18.323333333333334</v>
      </c>
      <c r="BA78" s="141">
        <f t="shared" ref="BA78" si="160">ROUNDDOWN(BB78*$C78,1)</f>
        <v>878.9</v>
      </c>
      <c r="BB78" s="141">
        <f>RCFs!$C$41</f>
        <v>17.579000000000001</v>
      </c>
      <c r="BC78" s="84"/>
      <c r="BD78" s="84"/>
      <c r="BE78" s="84"/>
      <c r="BF78" s="84"/>
      <c r="BG78" s="84"/>
      <c r="BH78" s="84"/>
      <c r="BI78" s="84"/>
      <c r="BJ78" s="84"/>
      <c r="BK78" s="84"/>
      <c r="BL78" s="84"/>
      <c r="BM78" s="85"/>
      <c r="BN78" s="85"/>
      <c r="BO78" s="85"/>
      <c r="BP78" s="85"/>
      <c r="BQ78" s="85"/>
      <c r="BR78" s="85"/>
      <c r="BS78" s="85"/>
      <c r="BT78" s="85"/>
      <c r="BU78" s="85"/>
      <c r="BV78" s="85"/>
    </row>
    <row r="79" spans="1:74" s="86" customFormat="1" x14ac:dyDescent="0.2">
      <c r="A79" s="83">
        <v>1211</v>
      </c>
      <c r="B79" s="63" t="s">
        <v>120</v>
      </c>
      <c r="C79" s="64">
        <v>50</v>
      </c>
      <c r="D79" s="56">
        <f t="shared" si="155"/>
        <v>3407.1</v>
      </c>
      <c r="E79" s="141">
        <f>RCFs!$C$43</f>
        <v>68.141894999999991</v>
      </c>
      <c r="F79" s="56">
        <f t="shared" si="99"/>
        <v>878.9</v>
      </c>
      <c r="G79" s="141">
        <f>RCFs!$C$5</f>
        <v>17.577000000000002</v>
      </c>
      <c r="H79" s="56">
        <f t="shared" ref="H79:H112" si="161">ROUND(I79*C79,1)</f>
        <v>878.9</v>
      </c>
      <c r="I79" s="141">
        <f>RCFs!$C$5</f>
        <v>17.577000000000002</v>
      </c>
      <c r="J79" s="65">
        <f t="shared" si="146"/>
        <v>966.7</v>
      </c>
      <c r="K79" s="65">
        <f t="shared" si="146"/>
        <v>1204</v>
      </c>
      <c r="L79" s="65">
        <f t="shared" si="146"/>
        <v>1291.9000000000001</v>
      </c>
      <c r="M79" s="65">
        <f t="shared" si="146"/>
        <v>1423.7</v>
      </c>
      <c r="N79" s="65">
        <f t="shared" si="146"/>
        <v>1757.7</v>
      </c>
      <c r="O79" s="65">
        <f t="shared" si="146"/>
        <v>1889.5</v>
      </c>
      <c r="P79" s="65">
        <f t="shared" si="146"/>
        <v>2636.6</v>
      </c>
      <c r="Q79" s="56">
        <f t="shared" si="104"/>
        <v>883</v>
      </c>
      <c r="R79" s="55">
        <f>RCFs!$C$7</f>
        <v>17.66</v>
      </c>
      <c r="S79" s="65">
        <f t="shared" si="131"/>
        <v>1147.9000000000001</v>
      </c>
      <c r="T79" s="65">
        <f t="shared" si="131"/>
        <v>1324.5</v>
      </c>
      <c r="U79" s="56">
        <f t="shared" ref="U79:U112" si="162">ROUNDDOWN(C79*V79,1)</f>
        <v>851.7</v>
      </c>
      <c r="V79" s="55">
        <f>RCFs!$C$9</f>
        <v>17.033999999999999</v>
      </c>
      <c r="W79" s="56">
        <f t="shared" si="89"/>
        <v>851.7</v>
      </c>
      <c r="X79" s="141">
        <f t="shared" si="107"/>
        <v>17.033999999999999</v>
      </c>
      <c r="Y79" s="65">
        <f t="shared" si="149"/>
        <v>936.9</v>
      </c>
      <c r="Z79" s="65">
        <f t="shared" si="149"/>
        <v>1166.8</v>
      </c>
      <c r="AA79" s="65">
        <f t="shared" si="149"/>
        <v>1379.8</v>
      </c>
      <c r="AB79" s="65">
        <f t="shared" si="149"/>
        <v>1252</v>
      </c>
      <c r="AC79" s="65">
        <f t="shared" si="124"/>
        <v>1848.2</v>
      </c>
      <c r="AD79" s="65">
        <f t="shared" si="122"/>
        <v>2555.1</v>
      </c>
      <c r="AE79" s="56">
        <f t="shared" si="158"/>
        <v>824</v>
      </c>
      <c r="AF79" s="55">
        <f>RCFs!$C$13</f>
        <v>16.48</v>
      </c>
      <c r="AG79" s="61">
        <f t="shared" si="136"/>
        <v>1359.6</v>
      </c>
      <c r="AH79" s="61">
        <f t="shared" si="136"/>
        <v>1730.4</v>
      </c>
      <c r="AI79" s="61">
        <f t="shared" si="136"/>
        <v>2472</v>
      </c>
      <c r="AJ79" s="56">
        <f t="shared" si="150"/>
        <v>843.8</v>
      </c>
      <c r="AK79" s="141">
        <f>RCFs!$C$23</f>
        <v>16.876666666666669</v>
      </c>
      <c r="AL79" s="56">
        <f t="shared" si="151"/>
        <v>1162.8</v>
      </c>
      <c r="AM79" s="141">
        <f>RCFs!$C$27</f>
        <v>23.256666666666668</v>
      </c>
      <c r="AN79" s="142">
        <f t="shared" si="152"/>
        <v>925.7</v>
      </c>
      <c r="AO79" s="141">
        <f>RCFs!$C$33</f>
        <v>18.513999999999999</v>
      </c>
      <c r="AP79" s="61">
        <f t="shared" si="95"/>
        <v>1388.5</v>
      </c>
      <c r="AQ79" s="142">
        <f t="shared" si="153"/>
        <v>865.3</v>
      </c>
      <c r="AR79" s="141">
        <f>RCFs!$C$35</f>
        <v>17.306666666666668</v>
      </c>
      <c r="AS79" s="61">
        <f t="shared" si="129"/>
        <v>1124.8</v>
      </c>
      <c r="AT79" s="61">
        <f t="shared" si="129"/>
        <v>1254.5999999999999</v>
      </c>
      <c r="AU79" s="142">
        <f t="shared" si="108"/>
        <v>893</v>
      </c>
      <c r="AV79" s="141">
        <f>RCFs!$C$37</f>
        <v>17.86</v>
      </c>
      <c r="AW79" s="142">
        <f t="shared" si="102"/>
        <v>903.5</v>
      </c>
      <c r="AX79" s="141">
        <f>RCFs!$C$64</f>
        <v>18.07</v>
      </c>
      <c r="AY79" s="142">
        <f t="shared" si="108"/>
        <v>916.1</v>
      </c>
      <c r="AZ79" s="141">
        <f>RCFs!$C$39</f>
        <v>18.323333333333334</v>
      </c>
      <c r="BA79" s="141">
        <f t="shared" ref="BA79" si="163">ROUNDDOWN(BB79*$C79,1)</f>
        <v>878.9</v>
      </c>
      <c r="BB79" s="141">
        <f>RCFs!$C$41</f>
        <v>17.579000000000001</v>
      </c>
      <c r="BC79" s="84"/>
      <c r="BD79" s="84"/>
      <c r="BE79" s="84"/>
      <c r="BF79" s="84"/>
      <c r="BG79" s="84"/>
      <c r="BH79" s="84"/>
      <c r="BI79" s="84"/>
      <c r="BJ79" s="84"/>
      <c r="BK79" s="84"/>
      <c r="BL79" s="84"/>
      <c r="BM79" s="85"/>
      <c r="BN79" s="85"/>
      <c r="BO79" s="85"/>
      <c r="BP79" s="85"/>
      <c r="BQ79" s="85"/>
      <c r="BR79" s="85"/>
      <c r="BS79" s="85"/>
      <c r="BT79" s="85"/>
      <c r="BU79" s="85"/>
      <c r="BV79" s="85"/>
    </row>
    <row r="80" spans="1:74" s="86" customFormat="1" x14ac:dyDescent="0.2">
      <c r="A80" s="83">
        <v>1212</v>
      </c>
      <c r="B80" s="63" t="s">
        <v>61</v>
      </c>
      <c r="C80" s="64">
        <v>75</v>
      </c>
      <c r="D80" s="56">
        <f t="shared" si="155"/>
        <v>5110.6000000000004</v>
      </c>
      <c r="E80" s="141">
        <f>RCFs!$C$43</f>
        <v>68.141894999999991</v>
      </c>
      <c r="F80" s="56">
        <f t="shared" si="99"/>
        <v>1318.3</v>
      </c>
      <c r="G80" s="141">
        <f>RCFs!$C$5</f>
        <v>17.577000000000002</v>
      </c>
      <c r="H80" s="56">
        <f t="shared" si="161"/>
        <v>1318.3</v>
      </c>
      <c r="I80" s="141">
        <f>RCFs!$C$5</f>
        <v>17.577000000000002</v>
      </c>
      <c r="J80" s="65">
        <f t="shared" si="146"/>
        <v>1450.1</v>
      </c>
      <c r="K80" s="65">
        <f t="shared" si="146"/>
        <v>1806</v>
      </c>
      <c r="L80" s="65">
        <f t="shared" si="146"/>
        <v>1937.9</v>
      </c>
      <c r="M80" s="65">
        <f t="shared" si="146"/>
        <v>2135.6</v>
      </c>
      <c r="N80" s="65">
        <f t="shared" si="146"/>
        <v>2636.6</v>
      </c>
      <c r="O80" s="65">
        <f t="shared" si="146"/>
        <v>2834.3</v>
      </c>
      <c r="P80" s="65">
        <f t="shared" si="146"/>
        <v>3954.8</v>
      </c>
      <c r="Q80" s="56">
        <f t="shared" si="104"/>
        <v>1324.5</v>
      </c>
      <c r="R80" s="55">
        <f>RCFs!$C$7</f>
        <v>17.66</v>
      </c>
      <c r="S80" s="65">
        <f t="shared" si="131"/>
        <v>1721.8</v>
      </c>
      <c r="T80" s="65">
        <f t="shared" si="131"/>
        <v>1986.7</v>
      </c>
      <c r="U80" s="56">
        <f t="shared" si="162"/>
        <v>1277.5</v>
      </c>
      <c r="V80" s="55">
        <f>RCFs!$C$9</f>
        <v>17.033999999999999</v>
      </c>
      <c r="W80" s="56">
        <f t="shared" si="89"/>
        <v>1277.5999999999999</v>
      </c>
      <c r="X80" s="141">
        <f t="shared" si="107"/>
        <v>17.033999999999999</v>
      </c>
      <c r="Y80" s="65">
        <f t="shared" si="149"/>
        <v>1405.3</v>
      </c>
      <c r="Z80" s="65">
        <f t="shared" si="149"/>
        <v>1750.2</v>
      </c>
      <c r="AA80" s="65">
        <f t="shared" si="149"/>
        <v>2069.6</v>
      </c>
      <c r="AB80" s="65">
        <f t="shared" si="149"/>
        <v>1878</v>
      </c>
      <c r="AC80" s="65">
        <f t="shared" si="124"/>
        <v>2772.3</v>
      </c>
      <c r="AD80" s="65">
        <f t="shared" si="122"/>
        <v>3832.7</v>
      </c>
      <c r="AE80" s="56">
        <f t="shared" si="158"/>
        <v>1236</v>
      </c>
      <c r="AF80" s="55">
        <f>RCFs!$C$13</f>
        <v>16.48</v>
      </c>
      <c r="AG80" s="61">
        <f t="shared" si="136"/>
        <v>2039.4</v>
      </c>
      <c r="AH80" s="61">
        <f t="shared" si="136"/>
        <v>2595.6</v>
      </c>
      <c r="AI80" s="61">
        <f t="shared" si="136"/>
        <v>3708</v>
      </c>
      <c r="AJ80" s="56">
        <f t="shared" si="150"/>
        <v>1265.7</v>
      </c>
      <c r="AK80" s="141">
        <f>RCFs!$C$23</f>
        <v>16.876666666666669</v>
      </c>
      <c r="AL80" s="56">
        <f t="shared" si="151"/>
        <v>1744.3</v>
      </c>
      <c r="AM80" s="141">
        <f>RCFs!$C$27</f>
        <v>23.256666666666668</v>
      </c>
      <c r="AN80" s="142">
        <f t="shared" si="152"/>
        <v>1388.5</v>
      </c>
      <c r="AO80" s="141">
        <f>RCFs!$C$33</f>
        <v>18.513999999999999</v>
      </c>
      <c r="AP80" s="61">
        <f t="shared" si="95"/>
        <v>2082.6999999999998</v>
      </c>
      <c r="AQ80" s="142">
        <f t="shared" si="153"/>
        <v>1298</v>
      </c>
      <c r="AR80" s="141">
        <f>RCFs!$C$35</f>
        <v>17.306666666666668</v>
      </c>
      <c r="AS80" s="61">
        <f t="shared" si="129"/>
        <v>1687.4</v>
      </c>
      <c r="AT80" s="61">
        <f t="shared" si="129"/>
        <v>1882.1</v>
      </c>
      <c r="AU80" s="142">
        <f t="shared" si="108"/>
        <v>1339.5</v>
      </c>
      <c r="AV80" s="141">
        <f>RCFs!$C$37</f>
        <v>17.86</v>
      </c>
      <c r="AW80" s="142">
        <f t="shared" si="102"/>
        <v>1355.2</v>
      </c>
      <c r="AX80" s="141">
        <f>RCFs!$C$64</f>
        <v>18.07</v>
      </c>
      <c r="AY80" s="142">
        <f t="shared" si="108"/>
        <v>1374.2</v>
      </c>
      <c r="AZ80" s="141">
        <f>RCFs!$C$39</f>
        <v>18.323333333333334</v>
      </c>
      <c r="BA80" s="141">
        <f t="shared" ref="BA80" si="164">ROUNDDOWN(BB80*$C80,1)</f>
        <v>1318.4</v>
      </c>
      <c r="BB80" s="141">
        <f>RCFs!$C$41</f>
        <v>17.579000000000001</v>
      </c>
      <c r="BC80" s="84"/>
      <c r="BD80" s="84"/>
      <c r="BE80" s="84"/>
      <c r="BF80" s="84"/>
      <c r="BG80" s="84"/>
      <c r="BH80" s="84"/>
      <c r="BI80" s="84"/>
      <c r="BJ80" s="84"/>
      <c r="BK80" s="84"/>
      <c r="BL80" s="84"/>
      <c r="BM80" s="85"/>
      <c r="BN80" s="85"/>
      <c r="BO80" s="85"/>
      <c r="BP80" s="85"/>
      <c r="BQ80" s="85"/>
      <c r="BR80" s="85"/>
      <c r="BS80" s="85"/>
      <c r="BT80" s="85"/>
      <c r="BU80" s="85"/>
      <c r="BV80" s="85"/>
    </row>
    <row r="81" spans="1:74" s="86" customFormat="1" x14ac:dyDescent="0.2">
      <c r="A81" s="83">
        <v>1213</v>
      </c>
      <c r="B81" s="63" t="s">
        <v>62</v>
      </c>
      <c r="C81" s="64">
        <v>50</v>
      </c>
      <c r="D81" s="56">
        <f t="shared" si="155"/>
        <v>3407.1</v>
      </c>
      <c r="E81" s="141">
        <f>RCFs!$C$43</f>
        <v>68.141894999999991</v>
      </c>
      <c r="F81" s="56">
        <f t="shared" si="99"/>
        <v>878.9</v>
      </c>
      <c r="G81" s="141">
        <f>RCFs!$C$5</f>
        <v>17.577000000000002</v>
      </c>
      <c r="H81" s="56">
        <f t="shared" si="161"/>
        <v>878.9</v>
      </c>
      <c r="I81" s="141">
        <f>RCFs!$C$5</f>
        <v>17.577000000000002</v>
      </c>
      <c r="J81" s="65">
        <f t="shared" si="146"/>
        <v>966.7</v>
      </c>
      <c r="K81" s="65">
        <f t="shared" si="146"/>
        <v>1204</v>
      </c>
      <c r="L81" s="65">
        <f t="shared" si="146"/>
        <v>1291.9000000000001</v>
      </c>
      <c r="M81" s="65">
        <f t="shared" si="146"/>
        <v>1423.7</v>
      </c>
      <c r="N81" s="65">
        <f t="shared" si="146"/>
        <v>1757.7</v>
      </c>
      <c r="O81" s="65">
        <f t="shared" si="146"/>
        <v>1889.5</v>
      </c>
      <c r="P81" s="65">
        <f t="shared" si="146"/>
        <v>2636.6</v>
      </c>
      <c r="Q81" s="56">
        <f t="shared" si="104"/>
        <v>883</v>
      </c>
      <c r="R81" s="55">
        <f>RCFs!$C$7</f>
        <v>17.66</v>
      </c>
      <c r="S81" s="65">
        <f t="shared" si="131"/>
        <v>1147.9000000000001</v>
      </c>
      <c r="T81" s="65">
        <f t="shared" si="131"/>
        <v>1324.5</v>
      </c>
      <c r="U81" s="56">
        <f t="shared" si="162"/>
        <v>851.7</v>
      </c>
      <c r="V81" s="55">
        <f>RCFs!$C$9</f>
        <v>17.033999999999999</v>
      </c>
      <c r="W81" s="56">
        <f t="shared" ref="W81:W112" si="165">ROUND(X81*C81,1)</f>
        <v>851.7</v>
      </c>
      <c r="X81" s="141">
        <f t="shared" si="107"/>
        <v>17.033999999999999</v>
      </c>
      <c r="Y81" s="65">
        <f t="shared" si="149"/>
        <v>936.9</v>
      </c>
      <c r="Z81" s="65">
        <f t="shared" si="149"/>
        <v>1166.8</v>
      </c>
      <c r="AA81" s="65">
        <f t="shared" si="149"/>
        <v>1379.8</v>
      </c>
      <c r="AB81" s="65">
        <f t="shared" si="149"/>
        <v>1252</v>
      </c>
      <c r="AC81" s="65">
        <f t="shared" si="124"/>
        <v>1848.2</v>
      </c>
      <c r="AD81" s="65">
        <f t="shared" si="122"/>
        <v>2555.1</v>
      </c>
      <c r="AE81" s="56">
        <f t="shared" si="158"/>
        <v>824</v>
      </c>
      <c r="AF81" s="55">
        <f>RCFs!$C$13</f>
        <v>16.48</v>
      </c>
      <c r="AG81" s="61">
        <f t="shared" si="136"/>
        <v>1359.6</v>
      </c>
      <c r="AH81" s="61">
        <f t="shared" si="136"/>
        <v>1730.4</v>
      </c>
      <c r="AI81" s="61">
        <f t="shared" si="136"/>
        <v>2472</v>
      </c>
      <c r="AJ81" s="56">
        <f t="shared" si="150"/>
        <v>843.8</v>
      </c>
      <c r="AK81" s="141">
        <f>RCFs!$C$23</f>
        <v>16.876666666666669</v>
      </c>
      <c r="AL81" s="56">
        <f t="shared" si="151"/>
        <v>1162.8</v>
      </c>
      <c r="AM81" s="141">
        <f>RCFs!$C$27</f>
        <v>23.256666666666668</v>
      </c>
      <c r="AN81" s="142">
        <f t="shared" si="152"/>
        <v>925.7</v>
      </c>
      <c r="AO81" s="141">
        <f>RCFs!$C$33</f>
        <v>18.513999999999999</v>
      </c>
      <c r="AP81" s="61">
        <f t="shared" si="95"/>
        <v>1388.5</v>
      </c>
      <c r="AQ81" s="142">
        <f t="shared" si="153"/>
        <v>865.3</v>
      </c>
      <c r="AR81" s="141">
        <f>RCFs!$C$35</f>
        <v>17.306666666666668</v>
      </c>
      <c r="AS81" s="61">
        <f t="shared" si="129"/>
        <v>1124.8</v>
      </c>
      <c r="AT81" s="61">
        <f t="shared" si="129"/>
        <v>1254.5999999999999</v>
      </c>
      <c r="AU81" s="142">
        <f t="shared" si="108"/>
        <v>893</v>
      </c>
      <c r="AV81" s="141">
        <f>RCFs!$C$37</f>
        <v>17.86</v>
      </c>
      <c r="AW81" s="142">
        <f t="shared" si="102"/>
        <v>903.5</v>
      </c>
      <c r="AX81" s="141">
        <f>RCFs!$C$64</f>
        <v>18.07</v>
      </c>
      <c r="AY81" s="142">
        <f t="shared" si="108"/>
        <v>916.1</v>
      </c>
      <c r="AZ81" s="141">
        <f>RCFs!$C$39</f>
        <v>18.323333333333334</v>
      </c>
      <c r="BA81" s="141">
        <f t="shared" ref="BA81" si="166">ROUNDDOWN(BB81*$C81,1)</f>
        <v>878.9</v>
      </c>
      <c r="BB81" s="141">
        <f>RCFs!$C$41</f>
        <v>17.579000000000001</v>
      </c>
      <c r="BC81" s="84"/>
      <c r="BD81" s="84"/>
      <c r="BE81" s="84"/>
      <c r="BF81" s="84"/>
      <c r="BG81" s="84"/>
      <c r="BH81" s="84"/>
      <c r="BI81" s="84"/>
      <c r="BJ81" s="84"/>
      <c r="BK81" s="84"/>
      <c r="BL81" s="84"/>
      <c r="BM81" s="85"/>
      <c r="BN81" s="85"/>
      <c r="BO81" s="85"/>
      <c r="BP81" s="85"/>
      <c r="BQ81" s="85"/>
      <c r="BR81" s="85"/>
      <c r="BS81" s="85"/>
      <c r="BT81" s="85"/>
      <c r="BU81" s="85"/>
      <c r="BV81" s="85"/>
    </row>
    <row r="82" spans="1:74" s="86" customFormat="1" x14ac:dyDescent="0.2">
      <c r="A82" s="83">
        <v>1214</v>
      </c>
      <c r="B82" s="63" t="s">
        <v>63</v>
      </c>
      <c r="C82" s="64">
        <v>25</v>
      </c>
      <c r="D82" s="56">
        <f t="shared" si="155"/>
        <v>1703.5</v>
      </c>
      <c r="E82" s="141">
        <f>RCFs!$C$43</f>
        <v>68.141894999999991</v>
      </c>
      <c r="F82" s="56">
        <f t="shared" si="99"/>
        <v>439.4</v>
      </c>
      <c r="G82" s="141">
        <f>RCFs!$C$5</f>
        <v>17.577000000000002</v>
      </c>
      <c r="H82" s="56">
        <f t="shared" si="161"/>
        <v>439.4</v>
      </c>
      <c r="I82" s="141">
        <f>RCFs!$C$5</f>
        <v>17.577000000000002</v>
      </c>
      <c r="J82" s="65">
        <f t="shared" ref="J82:P91" si="167">ROUND($C82*$I82*J$6,1)</f>
        <v>483.4</v>
      </c>
      <c r="K82" s="65">
        <f t="shared" si="167"/>
        <v>602</v>
      </c>
      <c r="L82" s="65">
        <f t="shared" si="167"/>
        <v>646</v>
      </c>
      <c r="M82" s="65">
        <f t="shared" si="167"/>
        <v>711.9</v>
      </c>
      <c r="N82" s="65">
        <f t="shared" si="167"/>
        <v>878.9</v>
      </c>
      <c r="O82" s="65">
        <f t="shared" si="167"/>
        <v>944.8</v>
      </c>
      <c r="P82" s="65">
        <f t="shared" si="167"/>
        <v>1318.3</v>
      </c>
      <c r="Q82" s="56">
        <f t="shared" si="104"/>
        <v>441.5</v>
      </c>
      <c r="R82" s="55">
        <f>RCFs!$C$7</f>
        <v>17.66</v>
      </c>
      <c r="S82" s="65">
        <f t="shared" si="131"/>
        <v>573.9</v>
      </c>
      <c r="T82" s="65">
        <f t="shared" si="131"/>
        <v>662.2</v>
      </c>
      <c r="U82" s="56">
        <f t="shared" si="162"/>
        <v>425.8</v>
      </c>
      <c r="V82" s="55">
        <f>RCFs!$C$9</f>
        <v>17.033999999999999</v>
      </c>
      <c r="W82" s="56">
        <f t="shared" si="165"/>
        <v>425.9</v>
      </c>
      <c r="X82" s="141">
        <f t="shared" si="107"/>
        <v>17.033999999999999</v>
      </c>
      <c r="Y82" s="65">
        <f t="shared" si="149"/>
        <v>468.4</v>
      </c>
      <c r="Z82" s="65">
        <f t="shared" si="149"/>
        <v>583.4</v>
      </c>
      <c r="AA82" s="65">
        <f t="shared" si="149"/>
        <v>689.9</v>
      </c>
      <c r="AB82" s="65">
        <f t="shared" si="149"/>
        <v>626</v>
      </c>
      <c r="AC82" s="65">
        <f t="shared" si="124"/>
        <v>924.1</v>
      </c>
      <c r="AD82" s="65">
        <f t="shared" si="122"/>
        <v>1277.5999999999999</v>
      </c>
      <c r="AE82" s="56">
        <f t="shared" si="158"/>
        <v>412</v>
      </c>
      <c r="AF82" s="55">
        <f>RCFs!$C$13</f>
        <v>16.48</v>
      </c>
      <c r="AG82" s="61">
        <f t="shared" si="136"/>
        <v>679.8</v>
      </c>
      <c r="AH82" s="61">
        <f t="shared" si="136"/>
        <v>865.2</v>
      </c>
      <c r="AI82" s="61">
        <f t="shared" si="136"/>
        <v>1236</v>
      </c>
      <c r="AJ82" s="56">
        <f t="shared" si="150"/>
        <v>421.9</v>
      </c>
      <c r="AK82" s="141">
        <f>RCFs!$C$23</f>
        <v>16.876666666666669</v>
      </c>
      <c r="AL82" s="56">
        <f t="shared" si="151"/>
        <v>581.4</v>
      </c>
      <c r="AM82" s="141">
        <f>RCFs!$C$27</f>
        <v>23.256666666666668</v>
      </c>
      <c r="AN82" s="142">
        <f t="shared" si="152"/>
        <v>462.8</v>
      </c>
      <c r="AO82" s="141">
        <f>RCFs!$C$33</f>
        <v>18.513999999999999</v>
      </c>
      <c r="AP82" s="61">
        <f t="shared" si="95"/>
        <v>694.2</v>
      </c>
      <c r="AQ82" s="142">
        <f t="shared" si="153"/>
        <v>432.6</v>
      </c>
      <c r="AR82" s="141">
        <f>RCFs!$C$35</f>
        <v>17.306666666666668</v>
      </c>
      <c r="AS82" s="61">
        <f t="shared" si="129"/>
        <v>562.29999999999995</v>
      </c>
      <c r="AT82" s="61">
        <f t="shared" si="129"/>
        <v>627.20000000000005</v>
      </c>
      <c r="AU82" s="142">
        <f t="shared" si="108"/>
        <v>446.5</v>
      </c>
      <c r="AV82" s="141">
        <f>RCFs!$C$37</f>
        <v>17.86</v>
      </c>
      <c r="AW82" s="142">
        <f t="shared" si="102"/>
        <v>451.7</v>
      </c>
      <c r="AX82" s="141">
        <f>RCFs!$C$64</f>
        <v>18.07</v>
      </c>
      <c r="AY82" s="142">
        <f t="shared" si="108"/>
        <v>458</v>
      </c>
      <c r="AZ82" s="141">
        <f>RCFs!$C$39</f>
        <v>18.323333333333334</v>
      </c>
      <c r="BA82" s="141">
        <f t="shared" ref="BA82" si="168">ROUNDDOWN(BB82*$C82,1)</f>
        <v>439.4</v>
      </c>
      <c r="BB82" s="141">
        <f>RCFs!$C$41</f>
        <v>17.579000000000001</v>
      </c>
      <c r="BC82" s="84"/>
      <c r="BD82" s="84"/>
      <c r="BE82" s="84"/>
      <c r="BF82" s="84"/>
      <c r="BG82" s="84"/>
      <c r="BH82" s="84"/>
      <c r="BI82" s="84"/>
      <c r="BJ82" s="84"/>
      <c r="BK82" s="84"/>
      <c r="BL82" s="84"/>
      <c r="BM82" s="85"/>
      <c r="BN82" s="85"/>
      <c r="BO82" s="85"/>
      <c r="BP82" s="85"/>
      <c r="BQ82" s="85"/>
      <c r="BR82" s="85"/>
      <c r="BS82" s="85"/>
      <c r="BT82" s="85"/>
      <c r="BU82" s="85"/>
      <c r="BV82" s="85"/>
    </row>
    <row r="83" spans="1:74" s="86" customFormat="1" x14ac:dyDescent="0.2">
      <c r="A83" s="83">
        <v>1215</v>
      </c>
      <c r="B83" s="63" t="s">
        <v>64</v>
      </c>
      <c r="C83" s="64">
        <v>25</v>
      </c>
      <c r="D83" s="56">
        <f t="shared" si="155"/>
        <v>1703.5</v>
      </c>
      <c r="E83" s="141">
        <f>RCFs!$C$43</f>
        <v>68.141894999999991</v>
      </c>
      <c r="F83" s="56">
        <f t="shared" si="99"/>
        <v>439.4</v>
      </c>
      <c r="G83" s="141">
        <f>RCFs!$C$5</f>
        <v>17.577000000000002</v>
      </c>
      <c r="H83" s="56">
        <f t="shared" si="161"/>
        <v>439.4</v>
      </c>
      <c r="I83" s="141">
        <f>RCFs!$C$5</f>
        <v>17.577000000000002</v>
      </c>
      <c r="J83" s="65">
        <f t="shared" si="167"/>
        <v>483.4</v>
      </c>
      <c r="K83" s="65">
        <f t="shared" si="167"/>
        <v>602</v>
      </c>
      <c r="L83" s="65">
        <f t="shared" si="167"/>
        <v>646</v>
      </c>
      <c r="M83" s="65">
        <f t="shared" si="167"/>
        <v>711.9</v>
      </c>
      <c r="N83" s="65">
        <f t="shared" si="167"/>
        <v>878.9</v>
      </c>
      <c r="O83" s="65">
        <f t="shared" si="167"/>
        <v>944.8</v>
      </c>
      <c r="P83" s="65">
        <f t="shared" si="167"/>
        <v>1318.3</v>
      </c>
      <c r="Q83" s="56">
        <f t="shared" si="104"/>
        <v>441.5</v>
      </c>
      <c r="R83" s="55">
        <f>RCFs!$C$7</f>
        <v>17.66</v>
      </c>
      <c r="S83" s="65">
        <f t="shared" si="131"/>
        <v>573.9</v>
      </c>
      <c r="T83" s="65">
        <f t="shared" si="131"/>
        <v>662.2</v>
      </c>
      <c r="U83" s="56">
        <f t="shared" si="162"/>
        <v>425.8</v>
      </c>
      <c r="V83" s="55">
        <f>RCFs!$C$9</f>
        <v>17.033999999999999</v>
      </c>
      <c r="W83" s="56">
        <f t="shared" si="165"/>
        <v>425.9</v>
      </c>
      <c r="X83" s="141">
        <f t="shared" si="107"/>
        <v>17.033999999999999</v>
      </c>
      <c r="Y83" s="65">
        <f t="shared" si="149"/>
        <v>468.4</v>
      </c>
      <c r="Z83" s="65">
        <f t="shared" si="149"/>
        <v>583.4</v>
      </c>
      <c r="AA83" s="65">
        <f t="shared" si="149"/>
        <v>689.9</v>
      </c>
      <c r="AB83" s="65">
        <f t="shared" si="149"/>
        <v>626</v>
      </c>
      <c r="AC83" s="65">
        <f t="shared" si="124"/>
        <v>924.1</v>
      </c>
      <c r="AD83" s="65">
        <f t="shared" si="122"/>
        <v>1277.5999999999999</v>
      </c>
      <c r="AE83" s="56">
        <f t="shared" si="158"/>
        <v>412</v>
      </c>
      <c r="AF83" s="55">
        <f>RCFs!$C$13</f>
        <v>16.48</v>
      </c>
      <c r="AG83" s="61">
        <f t="shared" ref="AG83:AI102" si="169">ROUND($AE83*AG$6,1)</f>
        <v>679.8</v>
      </c>
      <c r="AH83" s="61">
        <f t="shared" si="169"/>
        <v>865.2</v>
      </c>
      <c r="AI83" s="61">
        <f t="shared" si="169"/>
        <v>1236</v>
      </c>
      <c r="AJ83" s="56">
        <f t="shared" si="150"/>
        <v>421.9</v>
      </c>
      <c r="AK83" s="141">
        <f>RCFs!$C$23</f>
        <v>16.876666666666669</v>
      </c>
      <c r="AL83" s="56">
        <f t="shared" si="151"/>
        <v>581.4</v>
      </c>
      <c r="AM83" s="141">
        <f>RCFs!$C$27</f>
        <v>23.256666666666668</v>
      </c>
      <c r="AN83" s="142">
        <f t="shared" si="152"/>
        <v>462.8</v>
      </c>
      <c r="AO83" s="141">
        <f>RCFs!$C$33</f>
        <v>18.513999999999999</v>
      </c>
      <c r="AP83" s="61">
        <f t="shared" si="95"/>
        <v>694.2</v>
      </c>
      <c r="AQ83" s="142">
        <f t="shared" si="153"/>
        <v>432.6</v>
      </c>
      <c r="AR83" s="141">
        <f>RCFs!$C$35</f>
        <v>17.306666666666668</v>
      </c>
      <c r="AS83" s="61">
        <f t="shared" si="129"/>
        <v>562.29999999999995</v>
      </c>
      <c r="AT83" s="61">
        <f t="shared" si="129"/>
        <v>627.20000000000005</v>
      </c>
      <c r="AU83" s="142">
        <f t="shared" si="108"/>
        <v>446.5</v>
      </c>
      <c r="AV83" s="141">
        <f>RCFs!$C$37</f>
        <v>17.86</v>
      </c>
      <c r="AW83" s="142">
        <f t="shared" si="102"/>
        <v>451.7</v>
      </c>
      <c r="AX83" s="141">
        <f>RCFs!$C$64</f>
        <v>18.07</v>
      </c>
      <c r="AY83" s="142">
        <f t="shared" si="108"/>
        <v>458</v>
      </c>
      <c r="AZ83" s="141">
        <f>RCFs!$C$39</f>
        <v>18.323333333333334</v>
      </c>
      <c r="BA83" s="141">
        <f t="shared" ref="BA83" si="170">ROUNDDOWN(BB83*$C83,1)</f>
        <v>439.4</v>
      </c>
      <c r="BB83" s="141">
        <f>RCFs!$C$41</f>
        <v>17.579000000000001</v>
      </c>
      <c r="BC83" s="84"/>
      <c r="BD83" s="84"/>
      <c r="BE83" s="84"/>
      <c r="BF83" s="84"/>
      <c r="BG83" s="84"/>
      <c r="BH83" s="84"/>
      <c r="BI83" s="84"/>
      <c r="BJ83" s="84"/>
      <c r="BK83" s="84"/>
      <c r="BL83" s="84"/>
      <c r="BM83" s="85"/>
      <c r="BN83" s="85"/>
      <c r="BO83" s="85"/>
      <c r="BP83" s="85"/>
      <c r="BQ83" s="85"/>
      <c r="BR83" s="85"/>
      <c r="BS83" s="85"/>
      <c r="BT83" s="85"/>
      <c r="BU83" s="85"/>
      <c r="BV83" s="85"/>
    </row>
    <row r="84" spans="1:74" s="86" customFormat="1" x14ac:dyDescent="0.2">
      <c r="A84" s="83">
        <v>1216</v>
      </c>
      <c r="B84" s="63" t="s">
        <v>65</v>
      </c>
      <c r="C84" s="64">
        <v>50</v>
      </c>
      <c r="D84" s="56">
        <f t="shared" si="155"/>
        <v>3407.1</v>
      </c>
      <c r="E84" s="141">
        <f>RCFs!$C$43</f>
        <v>68.141894999999991</v>
      </c>
      <c r="F84" s="56">
        <f t="shared" si="99"/>
        <v>878.9</v>
      </c>
      <c r="G84" s="141">
        <f>RCFs!$C$5</f>
        <v>17.577000000000002</v>
      </c>
      <c r="H84" s="56">
        <f t="shared" si="161"/>
        <v>878.9</v>
      </c>
      <c r="I84" s="141">
        <f>RCFs!$C$5</f>
        <v>17.577000000000002</v>
      </c>
      <c r="J84" s="65">
        <f t="shared" si="167"/>
        <v>966.7</v>
      </c>
      <c r="K84" s="65">
        <f t="shared" si="167"/>
        <v>1204</v>
      </c>
      <c r="L84" s="65">
        <f t="shared" si="167"/>
        <v>1291.9000000000001</v>
      </c>
      <c r="M84" s="65">
        <f t="shared" si="167"/>
        <v>1423.7</v>
      </c>
      <c r="N84" s="65">
        <f t="shared" si="167"/>
        <v>1757.7</v>
      </c>
      <c r="O84" s="65">
        <f t="shared" si="167"/>
        <v>1889.5</v>
      </c>
      <c r="P84" s="65">
        <f t="shared" si="167"/>
        <v>2636.6</v>
      </c>
      <c r="Q84" s="56">
        <f t="shared" si="104"/>
        <v>883</v>
      </c>
      <c r="R84" s="55">
        <f>RCFs!$C$7</f>
        <v>17.66</v>
      </c>
      <c r="S84" s="65">
        <f t="shared" si="131"/>
        <v>1147.9000000000001</v>
      </c>
      <c r="T84" s="65">
        <f t="shared" si="131"/>
        <v>1324.5</v>
      </c>
      <c r="U84" s="56">
        <f t="shared" si="162"/>
        <v>851.7</v>
      </c>
      <c r="V84" s="55">
        <f>RCFs!$C$9</f>
        <v>17.033999999999999</v>
      </c>
      <c r="W84" s="56">
        <f t="shared" si="165"/>
        <v>851.7</v>
      </c>
      <c r="X84" s="141">
        <f t="shared" si="107"/>
        <v>17.033999999999999</v>
      </c>
      <c r="Y84" s="65">
        <f t="shared" si="149"/>
        <v>936.9</v>
      </c>
      <c r="Z84" s="65">
        <f t="shared" si="149"/>
        <v>1166.8</v>
      </c>
      <c r="AA84" s="65">
        <f t="shared" si="149"/>
        <v>1379.8</v>
      </c>
      <c r="AB84" s="65">
        <f t="shared" si="149"/>
        <v>1252</v>
      </c>
      <c r="AC84" s="65">
        <f t="shared" si="124"/>
        <v>1848.2</v>
      </c>
      <c r="AD84" s="65">
        <f t="shared" si="122"/>
        <v>2555.1</v>
      </c>
      <c r="AE84" s="56">
        <f t="shared" si="158"/>
        <v>824</v>
      </c>
      <c r="AF84" s="55">
        <f>RCFs!$C$13</f>
        <v>16.48</v>
      </c>
      <c r="AG84" s="61">
        <f t="shared" si="169"/>
        <v>1359.6</v>
      </c>
      <c r="AH84" s="61">
        <f t="shared" si="169"/>
        <v>1730.4</v>
      </c>
      <c r="AI84" s="61">
        <f t="shared" si="169"/>
        <v>2472</v>
      </c>
      <c r="AJ84" s="56">
        <f t="shared" si="150"/>
        <v>843.8</v>
      </c>
      <c r="AK84" s="141">
        <f>RCFs!$C$23</f>
        <v>16.876666666666669</v>
      </c>
      <c r="AL84" s="56">
        <f t="shared" si="151"/>
        <v>1162.8</v>
      </c>
      <c r="AM84" s="141">
        <f>RCFs!$C$27</f>
        <v>23.256666666666668</v>
      </c>
      <c r="AN84" s="142">
        <f t="shared" si="152"/>
        <v>925.7</v>
      </c>
      <c r="AO84" s="141">
        <f>RCFs!$C$33</f>
        <v>18.513999999999999</v>
      </c>
      <c r="AP84" s="61">
        <f t="shared" si="95"/>
        <v>1388.5</v>
      </c>
      <c r="AQ84" s="142">
        <f t="shared" si="153"/>
        <v>865.3</v>
      </c>
      <c r="AR84" s="141">
        <f>RCFs!$C$35</f>
        <v>17.306666666666668</v>
      </c>
      <c r="AS84" s="61">
        <f t="shared" si="129"/>
        <v>1124.8</v>
      </c>
      <c r="AT84" s="61">
        <f t="shared" si="129"/>
        <v>1254.5999999999999</v>
      </c>
      <c r="AU84" s="142">
        <f t="shared" si="108"/>
        <v>893</v>
      </c>
      <c r="AV84" s="141">
        <f>RCFs!$C$37</f>
        <v>17.86</v>
      </c>
      <c r="AW84" s="142">
        <f t="shared" si="102"/>
        <v>903.5</v>
      </c>
      <c r="AX84" s="141">
        <f>RCFs!$C$64</f>
        <v>18.07</v>
      </c>
      <c r="AY84" s="142">
        <f t="shared" si="108"/>
        <v>916.1</v>
      </c>
      <c r="AZ84" s="141">
        <f>RCFs!$C$39</f>
        <v>18.323333333333334</v>
      </c>
      <c r="BA84" s="141">
        <f t="shared" ref="BA84" si="171">ROUNDDOWN(BB84*$C84,1)</f>
        <v>878.9</v>
      </c>
      <c r="BB84" s="141">
        <f>RCFs!$C$41</f>
        <v>17.579000000000001</v>
      </c>
      <c r="BC84" s="84"/>
      <c r="BD84" s="84"/>
      <c r="BE84" s="84"/>
      <c r="BF84" s="84"/>
      <c r="BG84" s="84"/>
      <c r="BH84" s="84"/>
      <c r="BI84" s="84"/>
      <c r="BJ84" s="84"/>
      <c r="BK84" s="84"/>
      <c r="BL84" s="84"/>
      <c r="BM84" s="85"/>
      <c r="BN84" s="85"/>
      <c r="BO84" s="85"/>
      <c r="BP84" s="85"/>
      <c r="BQ84" s="85"/>
      <c r="BR84" s="85"/>
      <c r="BS84" s="85"/>
      <c r="BT84" s="85"/>
      <c r="BU84" s="85"/>
      <c r="BV84" s="85"/>
    </row>
    <row r="85" spans="1:74" s="86" customFormat="1" x14ac:dyDescent="0.2">
      <c r="A85" s="83">
        <v>1217</v>
      </c>
      <c r="B85" s="63" t="s">
        <v>66</v>
      </c>
      <c r="C85" s="64">
        <v>10</v>
      </c>
      <c r="D85" s="56">
        <f t="shared" si="155"/>
        <v>681.4</v>
      </c>
      <c r="E85" s="141">
        <f>RCFs!$C$43</f>
        <v>68.141894999999991</v>
      </c>
      <c r="F85" s="56">
        <f t="shared" si="99"/>
        <v>175.8</v>
      </c>
      <c r="G85" s="141">
        <f>RCFs!$C$5</f>
        <v>17.577000000000002</v>
      </c>
      <c r="H85" s="56">
        <f t="shared" si="161"/>
        <v>175.8</v>
      </c>
      <c r="I85" s="141">
        <f>RCFs!$C$5</f>
        <v>17.577000000000002</v>
      </c>
      <c r="J85" s="65">
        <f t="shared" si="167"/>
        <v>193.3</v>
      </c>
      <c r="K85" s="65">
        <f t="shared" si="167"/>
        <v>240.8</v>
      </c>
      <c r="L85" s="65">
        <f t="shared" si="167"/>
        <v>258.39999999999998</v>
      </c>
      <c r="M85" s="65">
        <f t="shared" si="167"/>
        <v>284.7</v>
      </c>
      <c r="N85" s="65">
        <f t="shared" si="167"/>
        <v>351.5</v>
      </c>
      <c r="O85" s="65">
        <f t="shared" si="167"/>
        <v>377.9</v>
      </c>
      <c r="P85" s="65">
        <f t="shared" si="167"/>
        <v>527.29999999999995</v>
      </c>
      <c r="Q85" s="56">
        <f t="shared" si="104"/>
        <v>176.6</v>
      </c>
      <c r="R85" s="55">
        <f>RCFs!$C$7</f>
        <v>17.66</v>
      </c>
      <c r="S85" s="65">
        <f t="shared" si="131"/>
        <v>229.5</v>
      </c>
      <c r="T85" s="65">
        <f t="shared" si="131"/>
        <v>264.89999999999998</v>
      </c>
      <c r="U85" s="56">
        <f t="shared" si="162"/>
        <v>170.3</v>
      </c>
      <c r="V85" s="55">
        <f>RCFs!$C$9</f>
        <v>17.033999999999999</v>
      </c>
      <c r="W85" s="56">
        <f t="shared" si="165"/>
        <v>170.3</v>
      </c>
      <c r="X85" s="141">
        <f t="shared" si="107"/>
        <v>17.033999999999999</v>
      </c>
      <c r="Y85" s="65">
        <f t="shared" si="149"/>
        <v>187.4</v>
      </c>
      <c r="Z85" s="65">
        <f t="shared" si="149"/>
        <v>233.4</v>
      </c>
      <c r="AA85" s="65">
        <f t="shared" si="149"/>
        <v>276</v>
      </c>
      <c r="AB85" s="65">
        <f t="shared" si="149"/>
        <v>250.4</v>
      </c>
      <c r="AC85" s="65">
        <f t="shared" si="124"/>
        <v>369.6</v>
      </c>
      <c r="AD85" s="65">
        <f t="shared" si="122"/>
        <v>511</v>
      </c>
      <c r="AE85" s="56">
        <f t="shared" si="158"/>
        <v>164.8</v>
      </c>
      <c r="AF85" s="55">
        <f>RCFs!$C$13</f>
        <v>16.48</v>
      </c>
      <c r="AG85" s="61">
        <f t="shared" si="169"/>
        <v>271.89999999999998</v>
      </c>
      <c r="AH85" s="61">
        <f t="shared" si="169"/>
        <v>346.1</v>
      </c>
      <c r="AI85" s="61">
        <f t="shared" si="169"/>
        <v>494.4</v>
      </c>
      <c r="AJ85" s="56">
        <f t="shared" si="150"/>
        <v>168.7</v>
      </c>
      <c r="AK85" s="141">
        <f>RCFs!$C$23</f>
        <v>16.876666666666669</v>
      </c>
      <c r="AL85" s="56">
        <f t="shared" si="151"/>
        <v>232.6</v>
      </c>
      <c r="AM85" s="141">
        <f>RCFs!$C$27</f>
        <v>23.256666666666668</v>
      </c>
      <c r="AN85" s="142">
        <f t="shared" si="152"/>
        <v>185.1</v>
      </c>
      <c r="AO85" s="141">
        <f>RCFs!$C$33</f>
        <v>18.513999999999999</v>
      </c>
      <c r="AP85" s="61">
        <f t="shared" si="95"/>
        <v>277.60000000000002</v>
      </c>
      <c r="AQ85" s="142">
        <f t="shared" si="153"/>
        <v>173</v>
      </c>
      <c r="AR85" s="141">
        <f>RCFs!$C$35</f>
        <v>17.306666666666668</v>
      </c>
      <c r="AS85" s="61">
        <f t="shared" si="129"/>
        <v>224.9</v>
      </c>
      <c r="AT85" s="61">
        <f t="shared" si="129"/>
        <v>250.8</v>
      </c>
      <c r="AU85" s="142">
        <f t="shared" si="108"/>
        <v>178.6</v>
      </c>
      <c r="AV85" s="141">
        <f>RCFs!$C$37</f>
        <v>17.86</v>
      </c>
      <c r="AW85" s="142">
        <f t="shared" si="102"/>
        <v>180.7</v>
      </c>
      <c r="AX85" s="141">
        <f>RCFs!$C$64</f>
        <v>18.07</v>
      </c>
      <c r="AY85" s="142">
        <f t="shared" si="108"/>
        <v>183.2</v>
      </c>
      <c r="AZ85" s="141">
        <f>RCFs!$C$39</f>
        <v>18.323333333333334</v>
      </c>
      <c r="BA85" s="141">
        <f t="shared" ref="BA85" si="172">ROUNDDOWN(BB85*$C85,1)</f>
        <v>175.7</v>
      </c>
      <c r="BB85" s="141">
        <f>RCFs!$C$41</f>
        <v>17.579000000000001</v>
      </c>
      <c r="BC85" s="84"/>
      <c r="BD85" s="84"/>
      <c r="BE85" s="84"/>
      <c r="BF85" s="84"/>
      <c r="BG85" s="84"/>
      <c r="BH85" s="84"/>
      <c r="BI85" s="84"/>
      <c r="BJ85" s="84"/>
      <c r="BK85" s="84"/>
      <c r="BL85" s="84"/>
      <c r="BM85" s="85"/>
      <c r="BN85" s="85"/>
      <c r="BO85" s="85"/>
      <c r="BP85" s="85"/>
      <c r="BQ85" s="85"/>
      <c r="BR85" s="85"/>
      <c r="BS85" s="85"/>
      <c r="BT85" s="85"/>
      <c r="BU85" s="85"/>
      <c r="BV85" s="85"/>
    </row>
    <row r="86" spans="1:74" s="86" customFormat="1" x14ac:dyDescent="0.2">
      <c r="A86" s="83">
        <v>1218</v>
      </c>
      <c r="B86" s="63" t="s">
        <v>67</v>
      </c>
      <c r="C86" s="64">
        <v>25</v>
      </c>
      <c r="D86" s="56">
        <f t="shared" si="155"/>
        <v>1703.5</v>
      </c>
      <c r="E86" s="141">
        <f>RCFs!$C$43</f>
        <v>68.141894999999991</v>
      </c>
      <c r="F86" s="56">
        <f t="shared" si="99"/>
        <v>439.4</v>
      </c>
      <c r="G86" s="141">
        <f>RCFs!$C$5</f>
        <v>17.577000000000002</v>
      </c>
      <c r="H86" s="56">
        <f t="shared" si="161"/>
        <v>439.4</v>
      </c>
      <c r="I86" s="141">
        <f>RCFs!$C$5</f>
        <v>17.577000000000002</v>
      </c>
      <c r="J86" s="65">
        <f t="shared" si="167"/>
        <v>483.4</v>
      </c>
      <c r="K86" s="65">
        <f t="shared" si="167"/>
        <v>602</v>
      </c>
      <c r="L86" s="65">
        <f t="shared" si="167"/>
        <v>646</v>
      </c>
      <c r="M86" s="65">
        <f t="shared" si="167"/>
        <v>711.9</v>
      </c>
      <c r="N86" s="65">
        <f t="shared" si="167"/>
        <v>878.9</v>
      </c>
      <c r="O86" s="65">
        <f t="shared" si="167"/>
        <v>944.8</v>
      </c>
      <c r="P86" s="65">
        <f t="shared" si="167"/>
        <v>1318.3</v>
      </c>
      <c r="Q86" s="56">
        <f t="shared" si="104"/>
        <v>441.5</v>
      </c>
      <c r="R86" s="55">
        <f>RCFs!$C$7</f>
        <v>17.66</v>
      </c>
      <c r="S86" s="65">
        <f t="shared" si="131"/>
        <v>573.9</v>
      </c>
      <c r="T86" s="65">
        <f t="shared" si="131"/>
        <v>662.2</v>
      </c>
      <c r="U86" s="56">
        <f t="shared" si="162"/>
        <v>425.8</v>
      </c>
      <c r="V86" s="55">
        <f>RCFs!$C$9</f>
        <v>17.033999999999999</v>
      </c>
      <c r="W86" s="56">
        <f t="shared" si="165"/>
        <v>425.9</v>
      </c>
      <c r="X86" s="141">
        <f t="shared" si="107"/>
        <v>17.033999999999999</v>
      </c>
      <c r="Y86" s="65">
        <f t="shared" si="149"/>
        <v>468.4</v>
      </c>
      <c r="Z86" s="65">
        <f t="shared" si="149"/>
        <v>583.4</v>
      </c>
      <c r="AA86" s="65">
        <f t="shared" si="149"/>
        <v>689.9</v>
      </c>
      <c r="AB86" s="65">
        <f t="shared" si="149"/>
        <v>626</v>
      </c>
      <c r="AC86" s="65">
        <f t="shared" si="124"/>
        <v>924.1</v>
      </c>
      <c r="AD86" s="65">
        <f t="shared" ref="AD86:AD112" si="173">ROUND($C86*$X86*AD$6,1)</f>
        <v>1277.5999999999999</v>
      </c>
      <c r="AE86" s="56">
        <f t="shared" si="158"/>
        <v>412</v>
      </c>
      <c r="AF86" s="55">
        <f>RCFs!$C$13</f>
        <v>16.48</v>
      </c>
      <c r="AG86" s="61">
        <f t="shared" si="169"/>
        <v>679.8</v>
      </c>
      <c r="AH86" s="61">
        <f t="shared" si="169"/>
        <v>865.2</v>
      </c>
      <c r="AI86" s="61">
        <f t="shared" si="169"/>
        <v>1236</v>
      </c>
      <c r="AJ86" s="56">
        <f t="shared" si="150"/>
        <v>421.9</v>
      </c>
      <c r="AK86" s="141">
        <f>RCFs!$C$23</f>
        <v>16.876666666666669</v>
      </c>
      <c r="AL86" s="56">
        <f t="shared" si="151"/>
        <v>581.4</v>
      </c>
      <c r="AM86" s="141">
        <f>RCFs!$C$27</f>
        <v>23.256666666666668</v>
      </c>
      <c r="AN86" s="142">
        <f t="shared" si="152"/>
        <v>462.8</v>
      </c>
      <c r="AO86" s="141">
        <f>RCFs!$C$33</f>
        <v>18.513999999999999</v>
      </c>
      <c r="AP86" s="61">
        <f t="shared" si="95"/>
        <v>694.2</v>
      </c>
      <c r="AQ86" s="142">
        <f t="shared" si="153"/>
        <v>432.6</v>
      </c>
      <c r="AR86" s="141">
        <f>RCFs!$C$35</f>
        <v>17.306666666666668</v>
      </c>
      <c r="AS86" s="61">
        <f t="shared" si="129"/>
        <v>562.29999999999995</v>
      </c>
      <c r="AT86" s="61">
        <f t="shared" si="129"/>
        <v>627.20000000000005</v>
      </c>
      <c r="AU86" s="142">
        <f t="shared" si="108"/>
        <v>446.5</v>
      </c>
      <c r="AV86" s="141">
        <f>RCFs!$C$37</f>
        <v>17.86</v>
      </c>
      <c r="AW86" s="142">
        <f t="shared" si="102"/>
        <v>451.7</v>
      </c>
      <c r="AX86" s="141">
        <f>RCFs!$C$64</f>
        <v>18.07</v>
      </c>
      <c r="AY86" s="142">
        <f t="shared" si="108"/>
        <v>458</v>
      </c>
      <c r="AZ86" s="141">
        <f>RCFs!$C$39</f>
        <v>18.323333333333334</v>
      </c>
      <c r="BA86" s="141">
        <f t="shared" ref="BA86" si="174">ROUNDDOWN(BB86*$C86,1)</f>
        <v>439.4</v>
      </c>
      <c r="BB86" s="141">
        <f>RCFs!$C$41</f>
        <v>17.579000000000001</v>
      </c>
      <c r="BC86" s="84"/>
      <c r="BD86" s="84"/>
      <c r="BE86" s="84"/>
      <c r="BF86" s="84"/>
      <c r="BG86" s="84"/>
      <c r="BH86" s="84"/>
      <c r="BI86" s="84"/>
      <c r="BJ86" s="84"/>
      <c r="BK86" s="84"/>
      <c r="BL86" s="84"/>
      <c r="BM86" s="85"/>
      <c r="BN86" s="85"/>
      <c r="BO86" s="85"/>
      <c r="BP86" s="85"/>
      <c r="BQ86" s="85"/>
      <c r="BR86" s="85"/>
      <c r="BS86" s="85"/>
      <c r="BT86" s="85"/>
      <c r="BU86" s="85"/>
      <c r="BV86" s="85"/>
    </row>
    <row r="87" spans="1:74" s="86" customFormat="1" x14ac:dyDescent="0.2">
      <c r="A87" s="83">
        <v>1219</v>
      </c>
      <c r="B87" s="63" t="s">
        <v>68</v>
      </c>
      <c r="C87" s="64">
        <v>15</v>
      </c>
      <c r="D87" s="56">
        <f t="shared" si="155"/>
        <v>1022.1</v>
      </c>
      <c r="E87" s="141">
        <f>RCFs!$C$43</f>
        <v>68.141894999999991</v>
      </c>
      <c r="F87" s="56">
        <f t="shared" si="99"/>
        <v>263.7</v>
      </c>
      <c r="G87" s="141">
        <f>RCFs!$C$5</f>
        <v>17.577000000000002</v>
      </c>
      <c r="H87" s="56">
        <f t="shared" si="161"/>
        <v>263.7</v>
      </c>
      <c r="I87" s="141">
        <f>RCFs!$C$5</f>
        <v>17.577000000000002</v>
      </c>
      <c r="J87" s="65">
        <f t="shared" si="167"/>
        <v>290</v>
      </c>
      <c r="K87" s="65">
        <f t="shared" si="167"/>
        <v>361.2</v>
      </c>
      <c r="L87" s="65">
        <f t="shared" si="167"/>
        <v>387.6</v>
      </c>
      <c r="M87" s="65">
        <f t="shared" si="167"/>
        <v>427.1</v>
      </c>
      <c r="N87" s="65">
        <f t="shared" si="167"/>
        <v>527.29999999999995</v>
      </c>
      <c r="O87" s="65">
        <f t="shared" si="167"/>
        <v>566.9</v>
      </c>
      <c r="P87" s="65">
        <f t="shared" si="167"/>
        <v>791</v>
      </c>
      <c r="Q87" s="56">
        <f t="shared" si="104"/>
        <v>264.89999999999998</v>
      </c>
      <c r="R87" s="55">
        <f>RCFs!$C$7</f>
        <v>17.66</v>
      </c>
      <c r="S87" s="65">
        <f t="shared" si="131"/>
        <v>344.3</v>
      </c>
      <c r="T87" s="65">
        <f t="shared" si="131"/>
        <v>397.3</v>
      </c>
      <c r="U87" s="56">
        <f t="shared" si="162"/>
        <v>255.5</v>
      </c>
      <c r="V87" s="55">
        <f>RCFs!$C$9</f>
        <v>17.033999999999999</v>
      </c>
      <c r="W87" s="56">
        <f t="shared" si="165"/>
        <v>255.5</v>
      </c>
      <c r="X87" s="141">
        <f t="shared" si="107"/>
        <v>17.033999999999999</v>
      </c>
      <c r="Y87" s="65">
        <f t="shared" si="149"/>
        <v>281.10000000000002</v>
      </c>
      <c r="Z87" s="65">
        <f t="shared" si="149"/>
        <v>350</v>
      </c>
      <c r="AA87" s="65">
        <f t="shared" si="149"/>
        <v>413.9</v>
      </c>
      <c r="AB87" s="65">
        <f t="shared" si="149"/>
        <v>375.6</v>
      </c>
      <c r="AC87" s="65">
        <f t="shared" ref="AC87:AC112" si="175">ROUND($C87*$X87*AC$6,1)</f>
        <v>554.5</v>
      </c>
      <c r="AD87" s="65">
        <f t="shared" si="173"/>
        <v>766.5</v>
      </c>
      <c r="AE87" s="56">
        <f t="shared" si="158"/>
        <v>247.2</v>
      </c>
      <c r="AF87" s="55">
        <f>RCFs!$C$13</f>
        <v>16.48</v>
      </c>
      <c r="AG87" s="61">
        <f t="shared" si="169"/>
        <v>407.9</v>
      </c>
      <c r="AH87" s="61">
        <f t="shared" si="169"/>
        <v>519.1</v>
      </c>
      <c r="AI87" s="61">
        <f t="shared" si="169"/>
        <v>741.6</v>
      </c>
      <c r="AJ87" s="56">
        <f t="shared" si="150"/>
        <v>253.1</v>
      </c>
      <c r="AK87" s="141">
        <f>RCFs!$C$23</f>
        <v>16.876666666666669</v>
      </c>
      <c r="AL87" s="56">
        <f t="shared" si="151"/>
        <v>348.9</v>
      </c>
      <c r="AM87" s="141">
        <f>RCFs!$C$27</f>
        <v>23.256666666666668</v>
      </c>
      <c r="AN87" s="142">
        <f t="shared" si="152"/>
        <v>277.7</v>
      </c>
      <c r="AO87" s="141">
        <f>RCFs!$C$33</f>
        <v>18.513999999999999</v>
      </c>
      <c r="AP87" s="61">
        <f t="shared" si="95"/>
        <v>416.5</v>
      </c>
      <c r="AQ87" s="142">
        <f t="shared" si="153"/>
        <v>259.60000000000002</v>
      </c>
      <c r="AR87" s="141">
        <f>RCFs!$C$35</f>
        <v>17.306666666666668</v>
      </c>
      <c r="AS87" s="61">
        <f t="shared" si="129"/>
        <v>337.4</v>
      </c>
      <c r="AT87" s="61">
        <f t="shared" si="129"/>
        <v>376.4</v>
      </c>
      <c r="AU87" s="142">
        <f t="shared" si="108"/>
        <v>267.89999999999998</v>
      </c>
      <c r="AV87" s="141">
        <f>RCFs!$C$37</f>
        <v>17.86</v>
      </c>
      <c r="AW87" s="142">
        <f t="shared" si="102"/>
        <v>271</v>
      </c>
      <c r="AX87" s="141">
        <f>RCFs!$C$64</f>
        <v>18.07</v>
      </c>
      <c r="AY87" s="142">
        <f t="shared" si="108"/>
        <v>274.8</v>
      </c>
      <c r="AZ87" s="141">
        <f>RCFs!$C$39</f>
        <v>18.323333333333334</v>
      </c>
      <c r="BA87" s="141">
        <f t="shared" ref="BA87" si="176">ROUNDDOWN(BB87*$C87,1)</f>
        <v>263.60000000000002</v>
      </c>
      <c r="BB87" s="141">
        <f>RCFs!$C$41</f>
        <v>17.579000000000001</v>
      </c>
      <c r="BC87" s="84"/>
      <c r="BD87" s="84"/>
      <c r="BE87" s="84"/>
      <c r="BF87" s="84"/>
      <c r="BG87" s="84"/>
      <c r="BH87" s="84"/>
      <c r="BI87" s="84"/>
      <c r="BJ87" s="84"/>
      <c r="BK87" s="84"/>
      <c r="BL87" s="84"/>
      <c r="BM87" s="85"/>
      <c r="BN87" s="85"/>
      <c r="BO87" s="85"/>
      <c r="BP87" s="85"/>
      <c r="BQ87" s="85"/>
      <c r="BR87" s="85"/>
      <c r="BS87" s="85"/>
      <c r="BT87" s="85"/>
      <c r="BU87" s="85"/>
      <c r="BV87" s="85"/>
    </row>
    <row r="88" spans="1:74" s="86" customFormat="1" x14ac:dyDescent="0.2">
      <c r="A88" s="83">
        <v>1227</v>
      </c>
      <c r="B88" s="63" t="s">
        <v>69</v>
      </c>
      <c r="C88" s="64">
        <v>20</v>
      </c>
      <c r="D88" s="56">
        <f t="shared" si="155"/>
        <v>1362.8</v>
      </c>
      <c r="E88" s="141">
        <f>RCFs!$C$43</f>
        <v>68.141894999999991</v>
      </c>
      <c r="F88" s="56">
        <f t="shared" si="99"/>
        <v>351.5</v>
      </c>
      <c r="G88" s="141">
        <f>RCFs!$C$5</f>
        <v>17.577000000000002</v>
      </c>
      <c r="H88" s="56">
        <f t="shared" si="161"/>
        <v>351.5</v>
      </c>
      <c r="I88" s="141">
        <f>RCFs!$C$5</f>
        <v>17.577000000000002</v>
      </c>
      <c r="J88" s="65">
        <f t="shared" si="167"/>
        <v>386.7</v>
      </c>
      <c r="K88" s="65">
        <f t="shared" si="167"/>
        <v>481.6</v>
      </c>
      <c r="L88" s="65">
        <f t="shared" si="167"/>
        <v>516.79999999999995</v>
      </c>
      <c r="M88" s="65">
        <f t="shared" si="167"/>
        <v>569.5</v>
      </c>
      <c r="N88" s="65">
        <f t="shared" si="167"/>
        <v>703.1</v>
      </c>
      <c r="O88" s="65">
        <f t="shared" si="167"/>
        <v>755.8</v>
      </c>
      <c r="P88" s="65">
        <f t="shared" si="167"/>
        <v>1054.5999999999999</v>
      </c>
      <c r="Q88" s="56">
        <f t="shared" si="104"/>
        <v>353.2</v>
      </c>
      <c r="R88" s="55">
        <f>RCFs!$C$7</f>
        <v>17.66</v>
      </c>
      <c r="S88" s="65">
        <f t="shared" si="131"/>
        <v>459.1</v>
      </c>
      <c r="T88" s="65">
        <f t="shared" si="131"/>
        <v>529.79999999999995</v>
      </c>
      <c r="U88" s="56">
        <f t="shared" si="162"/>
        <v>340.6</v>
      </c>
      <c r="V88" s="55">
        <f>RCFs!$C$9</f>
        <v>17.033999999999999</v>
      </c>
      <c r="W88" s="56">
        <f t="shared" si="165"/>
        <v>340.7</v>
      </c>
      <c r="X88" s="141">
        <f t="shared" si="107"/>
        <v>17.033999999999999</v>
      </c>
      <c r="Y88" s="65">
        <f t="shared" si="149"/>
        <v>374.7</v>
      </c>
      <c r="Z88" s="65">
        <f t="shared" si="149"/>
        <v>466.7</v>
      </c>
      <c r="AA88" s="65">
        <f t="shared" si="149"/>
        <v>551.9</v>
      </c>
      <c r="AB88" s="65">
        <f t="shared" si="149"/>
        <v>500.8</v>
      </c>
      <c r="AC88" s="65">
        <f t="shared" si="175"/>
        <v>739.3</v>
      </c>
      <c r="AD88" s="65">
        <f t="shared" si="173"/>
        <v>1022</v>
      </c>
      <c r="AE88" s="56">
        <f t="shared" si="158"/>
        <v>329.6</v>
      </c>
      <c r="AF88" s="55">
        <f>RCFs!$C$13</f>
        <v>16.48</v>
      </c>
      <c r="AG88" s="61">
        <f t="shared" si="169"/>
        <v>543.79999999999995</v>
      </c>
      <c r="AH88" s="61">
        <f t="shared" si="169"/>
        <v>692.2</v>
      </c>
      <c r="AI88" s="61">
        <f t="shared" si="169"/>
        <v>988.8</v>
      </c>
      <c r="AJ88" s="56">
        <f t="shared" si="150"/>
        <v>337.5</v>
      </c>
      <c r="AK88" s="141">
        <f>RCFs!$C$23</f>
        <v>16.876666666666669</v>
      </c>
      <c r="AL88" s="56">
        <f t="shared" si="151"/>
        <v>465.1</v>
      </c>
      <c r="AM88" s="141">
        <f>RCFs!$C$27</f>
        <v>23.256666666666668</v>
      </c>
      <c r="AN88" s="142">
        <f t="shared" si="152"/>
        <v>370.2</v>
      </c>
      <c r="AO88" s="141">
        <f>RCFs!$C$33</f>
        <v>18.513999999999999</v>
      </c>
      <c r="AP88" s="61">
        <f t="shared" si="95"/>
        <v>555.29999999999995</v>
      </c>
      <c r="AQ88" s="142">
        <f t="shared" si="153"/>
        <v>346.1</v>
      </c>
      <c r="AR88" s="141">
        <f>RCFs!$C$35</f>
        <v>17.306666666666668</v>
      </c>
      <c r="AS88" s="61">
        <f t="shared" si="129"/>
        <v>449.9</v>
      </c>
      <c r="AT88" s="61">
        <f t="shared" si="129"/>
        <v>501.8</v>
      </c>
      <c r="AU88" s="142">
        <f t="shared" si="108"/>
        <v>357.2</v>
      </c>
      <c r="AV88" s="141">
        <f>RCFs!$C$37</f>
        <v>17.86</v>
      </c>
      <c r="AW88" s="142">
        <f t="shared" si="102"/>
        <v>361.4</v>
      </c>
      <c r="AX88" s="141">
        <f>RCFs!$C$64</f>
        <v>18.07</v>
      </c>
      <c r="AY88" s="142">
        <f t="shared" si="108"/>
        <v>366.4</v>
      </c>
      <c r="AZ88" s="141">
        <f>RCFs!$C$39</f>
        <v>18.323333333333334</v>
      </c>
      <c r="BA88" s="141">
        <f t="shared" ref="BA88" si="177">ROUNDDOWN(BB88*$C88,1)</f>
        <v>351.5</v>
      </c>
      <c r="BB88" s="141">
        <f>RCFs!$C$41</f>
        <v>17.579000000000001</v>
      </c>
      <c r="BC88" s="84"/>
      <c r="BD88" s="84"/>
      <c r="BE88" s="84"/>
      <c r="BF88" s="84"/>
      <c r="BG88" s="84"/>
      <c r="BH88" s="84"/>
      <c r="BI88" s="84"/>
      <c r="BJ88" s="84"/>
      <c r="BK88" s="84"/>
      <c r="BL88" s="84"/>
      <c r="BM88" s="85"/>
      <c r="BN88" s="85"/>
      <c r="BO88" s="85"/>
      <c r="BP88" s="85"/>
      <c r="BQ88" s="85"/>
      <c r="BR88" s="85"/>
      <c r="BS88" s="85"/>
      <c r="BT88" s="85"/>
      <c r="BU88" s="85"/>
      <c r="BV88" s="85"/>
    </row>
    <row r="89" spans="1:74" s="86" customFormat="1" x14ac:dyDescent="0.2">
      <c r="A89" s="83">
        <v>1230</v>
      </c>
      <c r="B89" s="63" t="s">
        <v>70</v>
      </c>
      <c r="C89" s="64">
        <v>6</v>
      </c>
      <c r="D89" s="56">
        <f t="shared" si="155"/>
        <v>408.9</v>
      </c>
      <c r="E89" s="141">
        <f>RCFs!$C$43</f>
        <v>68.141894999999991</v>
      </c>
      <c r="F89" s="56">
        <f t="shared" si="99"/>
        <v>105.5</v>
      </c>
      <c r="G89" s="141">
        <f>RCFs!$C$5</f>
        <v>17.577000000000002</v>
      </c>
      <c r="H89" s="56">
        <f t="shared" si="161"/>
        <v>105.5</v>
      </c>
      <c r="I89" s="141">
        <f>RCFs!$C$5</f>
        <v>17.577000000000002</v>
      </c>
      <c r="J89" s="65">
        <f t="shared" si="167"/>
        <v>116</v>
      </c>
      <c r="K89" s="65">
        <f t="shared" si="167"/>
        <v>144.5</v>
      </c>
      <c r="L89" s="65">
        <f t="shared" si="167"/>
        <v>155</v>
      </c>
      <c r="M89" s="65">
        <f t="shared" si="167"/>
        <v>170.8</v>
      </c>
      <c r="N89" s="65">
        <f t="shared" si="167"/>
        <v>210.9</v>
      </c>
      <c r="O89" s="65">
        <f t="shared" si="167"/>
        <v>226.7</v>
      </c>
      <c r="P89" s="65">
        <f t="shared" si="167"/>
        <v>316.39999999999998</v>
      </c>
      <c r="Q89" s="56">
        <f t="shared" si="104"/>
        <v>106</v>
      </c>
      <c r="R89" s="55">
        <f>RCFs!$C$7</f>
        <v>17.66</v>
      </c>
      <c r="S89" s="65">
        <f t="shared" si="131"/>
        <v>137.80000000000001</v>
      </c>
      <c r="T89" s="65">
        <f t="shared" si="131"/>
        <v>159</v>
      </c>
      <c r="U89" s="56">
        <f t="shared" si="162"/>
        <v>102.2</v>
      </c>
      <c r="V89" s="55">
        <f>RCFs!$C$9</f>
        <v>17.033999999999999</v>
      </c>
      <c r="W89" s="56">
        <f t="shared" si="165"/>
        <v>102.2</v>
      </c>
      <c r="X89" s="141">
        <f t="shared" si="107"/>
        <v>17.033999999999999</v>
      </c>
      <c r="Y89" s="65">
        <f t="shared" si="149"/>
        <v>112.4</v>
      </c>
      <c r="Z89" s="65">
        <f t="shared" si="149"/>
        <v>140</v>
      </c>
      <c r="AA89" s="65">
        <f t="shared" si="149"/>
        <v>165.6</v>
      </c>
      <c r="AB89" s="65">
        <f t="shared" si="149"/>
        <v>150.19999999999999</v>
      </c>
      <c r="AC89" s="65">
        <f t="shared" si="175"/>
        <v>221.8</v>
      </c>
      <c r="AD89" s="65">
        <f t="shared" si="173"/>
        <v>306.60000000000002</v>
      </c>
      <c r="AE89" s="56">
        <f t="shared" si="158"/>
        <v>98.9</v>
      </c>
      <c r="AF89" s="55">
        <f>RCFs!$C$13</f>
        <v>16.48</v>
      </c>
      <c r="AG89" s="61">
        <f t="shared" si="169"/>
        <v>163.19999999999999</v>
      </c>
      <c r="AH89" s="61">
        <f t="shared" si="169"/>
        <v>207.7</v>
      </c>
      <c r="AI89" s="61">
        <f t="shared" si="169"/>
        <v>296.7</v>
      </c>
      <c r="AJ89" s="56">
        <f t="shared" si="150"/>
        <v>101.2</v>
      </c>
      <c r="AK89" s="141">
        <f>RCFs!$C$23</f>
        <v>16.876666666666669</v>
      </c>
      <c r="AL89" s="56">
        <f t="shared" si="151"/>
        <v>139.5</v>
      </c>
      <c r="AM89" s="141">
        <f>RCFs!$C$27</f>
        <v>23.256666666666668</v>
      </c>
      <c r="AN89" s="142">
        <f t="shared" si="152"/>
        <v>111</v>
      </c>
      <c r="AO89" s="141">
        <f>RCFs!$C$33</f>
        <v>18.513999999999999</v>
      </c>
      <c r="AP89" s="61">
        <f t="shared" si="95"/>
        <v>166.5</v>
      </c>
      <c r="AQ89" s="142">
        <f t="shared" si="153"/>
        <v>103.8</v>
      </c>
      <c r="AR89" s="141">
        <f>RCFs!$C$35</f>
        <v>17.306666666666668</v>
      </c>
      <c r="AS89" s="61">
        <f t="shared" si="129"/>
        <v>134.9</v>
      </c>
      <c r="AT89" s="61">
        <f t="shared" si="129"/>
        <v>150.5</v>
      </c>
      <c r="AU89" s="142">
        <f t="shared" si="108"/>
        <v>107.1</v>
      </c>
      <c r="AV89" s="141">
        <f>RCFs!$C$37</f>
        <v>17.86</v>
      </c>
      <c r="AW89" s="142">
        <f t="shared" si="102"/>
        <v>108.4</v>
      </c>
      <c r="AX89" s="141">
        <f>RCFs!$C$64</f>
        <v>18.07</v>
      </c>
      <c r="AY89" s="142">
        <f t="shared" si="108"/>
        <v>109.9</v>
      </c>
      <c r="AZ89" s="141">
        <f>RCFs!$C$39</f>
        <v>18.323333333333334</v>
      </c>
      <c r="BA89" s="141">
        <f t="shared" ref="BA89" si="178">ROUNDDOWN(BB89*$C89,1)</f>
        <v>105.4</v>
      </c>
      <c r="BB89" s="141">
        <f>RCFs!$C$41</f>
        <v>17.579000000000001</v>
      </c>
      <c r="BC89" s="84"/>
      <c r="BD89" s="84"/>
      <c r="BE89" s="84"/>
      <c r="BF89" s="84"/>
      <c r="BG89" s="84"/>
      <c r="BH89" s="84"/>
      <c r="BI89" s="84"/>
      <c r="BJ89" s="84"/>
      <c r="BK89" s="84"/>
      <c r="BL89" s="84"/>
      <c r="BM89" s="85"/>
      <c r="BN89" s="85"/>
      <c r="BO89" s="85"/>
      <c r="BP89" s="85"/>
      <c r="BQ89" s="85"/>
      <c r="BR89" s="85"/>
      <c r="BS89" s="85"/>
      <c r="BT89" s="85"/>
      <c r="BU89" s="85"/>
      <c r="BV89" s="85"/>
    </row>
    <row r="90" spans="1:74" s="86" customFormat="1" x14ac:dyDescent="0.2">
      <c r="A90" s="83">
        <v>1231</v>
      </c>
      <c r="B90" s="63" t="s">
        <v>71</v>
      </c>
      <c r="C90" s="64">
        <v>10</v>
      </c>
      <c r="D90" s="56">
        <f t="shared" si="155"/>
        <v>681.4</v>
      </c>
      <c r="E90" s="141">
        <f>RCFs!$C$43</f>
        <v>68.141894999999991</v>
      </c>
      <c r="F90" s="56">
        <f t="shared" si="99"/>
        <v>175.8</v>
      </c>
      <c r="G90" s="141">
        <f>RCFs!$C$5</f>
        <v>17.577000000000002</v>
      </c>
      <c r="H90" s="56">
        <f t="shared" si="161"/>
        <v>175.8</v>
      </c>
      <c r="I90" s="141">
        <f>RCFs!$C$5</f>
        <v>17.577000000000002</v>
      </c>
      <c r="J90" s="65">
        <f t="shared" si="167"/>
        <v>193.3</v>
      </c>
      <c r="K90" s="65">
        <f t="shared" si="167"/>
        <v>240.8</v>
      </c>
      <c r="L90" s="65">
        <f t="shared" si="167"/>
        <v>258.39999999999998</v>
      </c>
      <c r="M90" s="65">
        <f t="shared" si="167"/>
        <v>284.7</v>
      </c>
      <c r="N90" s="65">
        <f t="shared" si="167"/>
        <v>351.5</v>
      </c>
      <c r="O90" s="65">
        <f t="shared" si="167"/>
        <v>377.9</v>
      </c>
      <c r="P90" s="65">
        <f t="shared" si="167"/>
        <v>527.29999999999995</v>
      </c>
      <c r="Q90" s="56">
        <f t="shared" si="104"/>
        <v>176.6</v>
      </c>
      <c r="R90" s="55">
        <f>RCFs!$C$7</f>
        <v>17.66</v>
      </c>
      <c r="S90" s="65">
        <f t="shared" si="131"/>
        <v>229.5</v>
      </c>
      <c r="T90" s="65">
        <f t="shared" si="131"/>
        <v>264.89999999999998</v>
      </c>
      <c r="U90" s="56">
        <f t="shared" si="162"/>
        <v>170.3</v>
      </c>
      <c r="V90" s="55">
        <f>RCFs!$C$9</f>
        <v>17.033999999999999</v>
      </c>
      <c r="W90" s="56">
        <f t="shared" si="165"/>
        <v>170.3</v>
      </c>
      <c r="X90" s="141">
        <f t="shared" si="107"/>
        <v>17.033999999999999</v>
      </c>
      <c r="Y90" s="65">
        <f t="shared" si="149"/>
        <v>187.4</v>
      </c>
      <c r="Z90" s="65">
        <f t="shared" si="149"/>
        <v>233.4</v>
      </c>
      <c r="AA90" s="65">
        <f t="shared" si="149"/>
        <v>276</v>
      </c>
      <c r="AB90" s="65">
        <f t="shared" si="149"/>
        <v>250.4</v>
      </c>
      <c r="AC90" s="65">
        <f t="shared" si="175"/>
        <v>369.6</v>
      </c>
      <c r="AD90" s="65">
        <f t="shared" si="173"/>
        <v>511</v>
      </c>
      <c r="AE90" s="56">
        <f t="shared" si="158"/>
        <v>164.8</v>
      </c>
      <c r="AF90" s="55">
        <f>RCFs!$C$13</f>
        <v>16.48</v>
      </c>
      <c r="AG90" s="61">
        <f t="shared" si="169"/>
        <v>271.89999999999998</v>
      </c>
      <c r="AH90" s="61">
        <f t="shared" si="169"/>
        <v>346.1</v>
      </c>
      <c r="AI90" s="61">
        <f t="shared" si="169"/>
        <v>494.4</v>
      </c>
      <c r="AJ90" s="56">
        <f t="shared" si="150"/>
        <v>168.7</v>
      </c>
      <c r="AK90" s="141">
        <f>RCFs!$C$23</f>
        <v>16.876666666666669</v>
      </c>
      <c r="AL90" s="56">
        <f t="shared" si="151"/>
        <v>232.6</v>
      </c>
      <c r="AM90" s="141">
        <f>RCFs!$C$27</f>
        <v>23.256666666666668</v>
      </c>
      <c r="AN90" s="142">
        <f t="shared" si="152"/>
        <v>185.1</v>
      </c>
      <c r="AO90" s="141">
        <f>RCFs!$C$33</f>
        <v>18.513999999999999</v>
      </c>
      <c r="AP90" s="61">
        <f t="shared" si="95"/>
        <v>277.60000000000002</v>
      </c>
      <c r="AQ90" s="142">
        <f t="shared" si="153"/>
        <v>173</v>
      </c>
      <c r="AR90" s="141">
        <f>RCFs!$C$35</f>
        <v>17.306666666666668</v>
      </c>
      <c r="AS90" s="61">
        <f t="shared" si="129"/>
        <v>224.9</v>
      </c>
      <c r="AT90" s="61">
        <f t="shared" si="129"/>
        <v>250.8</v>
      </c>
      <c r="AU90" s="142">
        <f t="shared" si="108"/>
        <v>178.6</v>
      </c>
      <c r="AV90" s="141">
        <f>RCFs!$C$37</f>
        <v>17.86</v>
      </c>
      <c r="AW90" s="142">
        <f t="shared" si="102"/>
        <v>180.7</v>
      </c>
      <c r="AX90" s="141">
        <f>RCFs!$C$64</f>
        <v>18.07</v>
      </c>
      <c r="AY90" s="142">
        <f t="shared" si="108"/>
        <v>183.2</v>
      </c>
      <c r="AZ90" s="141">
        <f>RCFs!$C$39</f>
        <v>18.323333333333334</v>
      </c>
      <c r="BA90" s="141">
        <f t="shared" ref="BA90" si="179">ROUNDDOWN(BB90*$C90,1)</f>
        <v>175.7</v>
      </c>
      <c r="BB90" s="141">
        <f>RCFs!$C$41</f>
        <v>17.579000000000001</v>
      </c>
      <c r="BC90" s="84"/>
      <c r="BD90" s="84"/>
      <c r="BE90" s="84"/>
      <c r="BF90" s="84"/>
      <c r="BG90" s="84"/>
      <c r="BH90" s="84"/>
      <c r="BI90" s="84"/>
      <c r="BJ90" s="84"/>
      <c r="BK90" s="84"/>
      <c r="BL90" s="84"/>
      <c r="BM90" s="85"/>
      <c r="BN90" s="85"/>
      <c r="BO90" s="85"/>
      <c r="BP90" s="85"/>
      <c r="BQ90" s="85"/>
      <c r="BR90" s="85"/>
      <c r="BS90" s="85"/>
      <c r="BT90" s="85"/>
      <c r="BU90" s="85"/>
      <c r="BV90" s="85"/>
    </row>
    <row r="91" spans="1:74" s="86" customFormat="1" x14ac:dyDescent="0.2">
      <c r="A91" s="83">
        <v>1236</v>
      </c>
      <c r="B91" s="63" t="s">
        <v>74</v>
      </c>
      <c r="C91" s="64">
        <v>18</v>
      </c>
      <c r="D91" s="56">
        <f t="shared" si="155"/>
        <v>1226.5999999999999</v>
      </c>
      <c r="E91" s="141">
        <f>RCFs!$C$43</f>
        <v>68.141894999999991</v>
      </c>
      <c r="F91" s="56">
        <f t="shared" si="99"/>
        <v>316.39999999999998</v>
      </c>
      <c r="G91" s="141">
        <f>RCFs!$C$5</f>
        <v>17.577000000000002</v>
      </c>
      <c r="H91" s="56">
        <f t="shared" si="161"/>
        <v>316.39999999999998</v>
      </c>
      <c r="I91" s="141">
        <f>RCFs!$C$5</f>
        <v>17.577000000000002</v>
      </c>
      <c r="J91" s="65">
        <f t="shared" si="167"/>
        <v>348</v>
      </c>
      <c r="K91" s="65">
        <f t="shared" si="167"/>
        <v>433.4</v>
      </c>
      <c r="L91" s="65">
        <f t="shared" si="167"/>
        <v>465.1</v>
      </c>
      <c r="M91" s="65">
        <f t="shared" si="167"/>
        <v>512.5</v>
      </c>
      <c r="N91" s="65">
        <f t="shared" si="167"/>
        <v>632.79999999999995</v>
      </c>
      <c r="O91" s="65">
        <f t="shared" si="167"/>
        <v>680.2</v>
      </c>
      <c r="P91" s="65">
        <f t="shared" si="167"/>
        <v>949.2</v>
      </c>
      <c r="Q91" s="56">
        <f t="shared" si="104"/>
        <v>317.89999999999998</v>
      </c>
      <c r="R91" s="55">
        <f>RCFs!$C$7</f>
        <v>17.66</v>
      </c>
      <c r="S91" s="65">
        <f t="shared" si="131"/>
        <v>413.2</v>
      </c>
      <c r="T91" s="65">
        <f t="shared" si="131"/>
        <v>476.8</v>
      </c>
      <c r="U91" s="56">
        <f t="shared" si="162"/>
        <v>306.60000000000002</v>
      </c>
      <c r="V91" s="55">
        <f>RCFs!$C$9</f>
        <v>17.033999999999999</v>
      </c>
      <c r="W91" s="56">
        <f t="shared" si="165"/>
        <v>306.60000000000002</v>
      </c>
      <c r="X91" s="141">
        <f t="shared" si="107"/>
        <v>17.033999999999999</v>
      </c>
      <c r="Y91" s="65">
        <f t="shared" si="149"/>
        <v>337.3</v>
      </c>
      <c r="Z91" s="65">
        <f t="shared" si="149"/>
        <v>420.1</v>
      </c>
      <c r="AA91" s="65">
        <f t="shared" si="149"/>
        <v>496.7</v>
      </c>
      <c r="AB91" s="65">
        <f t="shared" si="149"/>
        <v>450.7</v>
      </c>
      <c r="AC91" s="65">
        <f t="shared" si="175"/>
        <v>665.3</v>
      </c>
      <c r="AD91" s="65">
        <f t="shared" si="173"/>
        <v>919.8</v>
      </c>
      <c r="AE91" s="56">
        <f t="shared" si="158"/>
        <v>296.60000000000002</v>
      </c>
      <c r="AF91" s="55">
        <f>RCFs!$C$13</f>
        <v>16.48</v>
      </c>
      <c r="AG91" s="61">
        <f t="shared" si="169"/>
        <v>489.4</v>
      </c>
      <c r="AH91" s="61">
        <f t="shared" si="169"/>
        <v>622.9</v>
      </c>
      <c r="AI91" s="61">
        <f t="shared" si="169"/>
        <v>889.8</v>
      </c>
      <c r="AJ91" s="56">
        <f t="shared" si="150"/>
        <v>303.7</v>
      </c>
      <c r="AK91" s="141">
        <f>RCFs!$C$23</f>
        <v>16.876666666666669</v>
      </c>
      <c r="AL91" s="56">
        <f t="shared" si="151"/>
        <v>418.6</v>
      </c>
      <c r="AM91" s="141">
        <f>RCFs!$C$27</f>
        <v>23.256666666666668</v>
      </c>
      <c r="AN91" s="142">
        <f t="shared" si="152"/>
        <v>333.2</v>
      </c>
      <c r="AO91" s="141">
        <f>RCFs!$C$33</f>
        <v>18.513999999999999</v>
      </c>
      <c r="AP91" s="61">
        <f t="shared" si="95"/>
        <v>499.8</v>
      </c>
      <c r="AQ91" s="142">
        <f t="shared" si="153"/>
        <v>311.5</v>
      </c>
      <c r="AR91" s="141">
        <f>RCFs!$C$35</f>
        <v>17.306666666666668</v>
      </c>
      <c r="AS91" s="61">
        <f t="shared" si="129"/>
        <v>404.9</v>
      </c>
      <c r="AT91" s="61">
        <f t="shared" si="129"/>
        <v>451.6</v>
      </c>
      <c r="AU91" s="142">
        <f t="shared" si="108"/>
        <v>321.39999999999998</v>
      </c>
      <c r="AV91" s="141">
        <f>RCFs!$C$37</f>
        <v>17.86</v>
      </c>
      <c r="AW91" s="142">
        <f t="shared" si="102"/>
        <v>325.2</v>
      </c>
      <c r="AX91" s="141">
        <f>RCFs!$C$64</f>
        <v>18.07</v>
      </c>
      <c r="AY91" s="142">
        <f t="shared" si="108"/>
        <v>329.8</v>
      </c>
      <c r="AZ91" s="141">
        <f>RCFs!$C$39</f>
        <v>18.323333333333334</v>
      </c>
      <c r="BA91" s="141">
        <f t="shared" ref="BA91" si="180">ROUNDDOWN(BB91*$C91,1)</f>
        <v>316.39999999999998</v>
      </c>
      <c r="BB91" s="141">
        <f>RCFs!$C$41</f>
        <v>17.579000000000001</v>
      </c>
      <c r="BC91" s="84"/>
      <c r="BD91" s="84"/>
      <c r="BE91" s="84"/>
      <c r="BF91" s="84"/>
      <c r="BG91" s="84"/>
      <c r="BH91" s="84"/>
      <c r="BI91" s="84"/>
      <c r="BJ91" s="84"/>
      <c r="BK91" s="84"/>
      <c r="BL91" s="84"/>
      <c r="BM91" s="85"/>
      <c r="BN91" s="85"/>
      <c r="BO91" s="85"/>
      <c r="BP91" s="85"/>
      <c r="BQ91" s="85"/>
      <c r="BR91" s="85"/>
      <c r="BS91" s="85"/>
      <c r="BT91" s="85"/>
      <c r="BU91" s="85"/>
      <c r="BV91" s="85"/>
    </row>
    <row r="92" spans="1:74" s="86" customFormat="1" x14ac:dyDescent="0.2">
      <c r="A92" s="88">
        <v>1239</v>
      </c>
      <c r="B92" s="63" t="s">
        <v>143</v>
      </c>
      <c r="C92" s="64">
        <v>27</v>
      </c>
      <c r="D92" s="56">
        <f t="shared" si="155"/>
        <v>1839.8</v>
      </c>
      <c r="E92" s="141">
        <f>RCFs!$C$43</f>
        <v>68.141894999999991</v>
      </c>
      <c r="F92" s="56">
        <f t="shared" si="99"/>
        <v>474.6</v>
      </c>
      <c r="G92" s="141">
        <f>RCFs!$C$5</f>
        <v>17.577000000000002</v>
      </c>
      <c r="H92" s="56">
        <f t="shared" si="161"/>
        <v>474.6</v>
      </c>
      <c r="I92" s="141">
        <f>RCFs!$C$5</f>
        <v>17.577000000000002</v>
      </c>
      <c r="J92" s="65">
        <f t="shared" ref="J92:P101" si="181">ROUND($C92*$I92*J$6,1)</f>
        <v>522</v>
      </c>
      <c r="K92" s="65">
        <f t="shared" si="181"/>
        <v>650.20000000000005</v>
      </c>
      <c r="L92" s="65">
        <f t="shared" si="181"/>
        <v>697.6</v>
      </c>
      <c r="M92" s="65">
        <f t="shared" si="181"/>
        <v>768.8</v>
      </c>
      <c r="N92" s="65">
        <f t="shared" si="181"/>
        <v>949.2</v>
      </c>
      <c r="O92" s="65">
        <f t="shared" si="181"/>
        <v>1020.3</v>
      </c>
      <c r="P92" s="65">
        <f t="shared" si="181"/>
        <v>1423.7</v>
      </c>
      <c r="Q92" s="56">
        <f t="shared" si="104"/>
        <v>476.8</v>
      </c>
      <c r="R92" s="55">
        <f>RCFs!$C$7</f>
        <v>17.66</v>
      </c>
      <c r="S92" s="65">
        <f t="shared" si="131"/>
        <v>619.79999999999995</v>
      </c>
      <c r="T92" s="65">
        <f t="shared" si="131"/>
        <v>715.2</v>
      </c>
      <c r="U92" s="56">
        <f t="shared" si="162"/>
        <v>459.9</v>
      </c>
      <c r="V92" s="55">
        <f>RCFs!$C$9</f>
        <v>17.033999999999999</v>
      </c>
      <c r="W92" s="56">
        <f t="shared" si="165"/>
        <v>459.9</v>
      </c>
      <c r="X92" s="141">
        <f t="shared" si="107"/>
        <v>17.033999999999999</v>
      </c>
      <c r="Y92" s="65">
        <f t="shared" si="149"/>
        <v>505.9</v>
      </c>
      <c r="Z92" s="65">
        <f t="shared" si="149"/>
        <v>630.1</v>
      </c>
      <c r="AA92" s="65">
        <f t="shared" si="149"/>
        <v>745.1</v>
      </c>
      <c r="AB92" s="65">
        <f t="shared" si="149"/>
        <v>676.1</v>
      </c>
      <c r="AC92" s="65">
        <f t="shared" si="175"/>
        <v>998</v>
      </c>
      <c r="AD92" s="65">
        <f t="shared" si="173"/>
        <v>1379.8</v>
      </c>
      <c r="AE92" s="56">
        <f t="shared" si="158"/>
        <v>445</v>
      </c>
      <c r="AF92" s="55">
        <f>RCFs!$C$13</f>
        <v>16.48</v>
      </c>
      <c r="AG92" s="61">
        <f t="shared" si="169"/>
        <v>734.3</v>
      </c>
      <c r="AH92" s="61">
        <f t="shared" si="169"/>
        <v>934.5</v>
      </c>
      <c r="AI92" s="61">
        <f t="shared" si="169"/>
        <v>1335</v>
      </c>
      <c r="AJ92" s="56">
        <f t="shared" si="150"/>
        <v>455.6</v>
      </c>
      <c r="AK92" s="141">
        <f>RCFs!$C$23</f>
        <v>16.876666666666669</v>
      </c>
      <c r="AL92" s="56">
        <f t="shared" si="151"/>
        <v>627.9</v>
      </c>
      <c r="AM92" s="141">
        <f>RCFs!$C$27</f>
        <v>23.256666666666668</v>
      </c>
      <c r="AN92" s="142">
        <f t="shared" si="152"/>
        <v>499.8</v>
      </c>
      <c r="AO92" s="141">
        <f>RCFs!$C$33</f>
        <v>18.513999999999999</v>
      </c>
      <c r="AP92" s="61">
        <f t="shared" si="95"/>
        <v>749.7</v>
      </c>
      <c r="AQ92" s="142">
        <f t="shared" si="153"/>
        <v>467.2</v>
      </c>
      <c r="AR92" s="141">
        <f>RCFs!$C$35</f>
        <v>17.306666666666668</v>
      </c>
      <c r="AS92" s="61">
        <f t="shared" si="129"/>
        <v>607.29999999999995</v>
      </c>
      <c r="AT92" s="61">
        <f t="shared" si="129"/>
        <v>677.4</v>
      </c>
      <c r="AU92" s="142">
        <f t="shared" si="108"/>
        <v>482.2</v>
      </c>
      <c r="AV92" s="141">
        <f>RCFs!$C$37</f>
        <v>17.86</v>
      </c>
      <c r="AW92" s="142">
        <f t="shared" si="102"/>
        <v>487.8</v>
      </c>
      <c r="AX92" s="141">
        <f>RCFs!$C$64</f>
        <v>18.07</v>
      </c>
      <c r="AY92" s="142">
        <f t="shared" si="108"/>
        <v>494.7</v>
      </c>
      <c r="AZ92" s="141">
        <f>RCFs!$C$39</f>
        <v>18.323333333333334</v>
      </c>
      <c r="BA92" s="141">
        <f t="shared" ref="BA92" si="182">ROUNDDOWN(BB92*$C92,1)</f>
        <v>474.6</v>
      </c>
      <c r="BB92" s="141">
        <f>RCFs!$C$41</f>
        <v>17.579000000000001</v>
      </c>
      <c r="BC92" s="84"/>
      <c r="BD92" s="84"/>
      <c r="BE92" s="84"/>
      <c r="BF92" s="84"/>
      <c r="BG92" s="84"/>
      <c r="BH92" s="84"/>
      <c r="BI92" s="84"/>
      <c r="BJ92" s="84"/>
      <c r="BK92" s="84"/>
      <c r="BL92" s="84"/>
      <c r="BM92" s="85"/>
      <c r="BN92" s="85"/>
      <c r="BO92" s="85"/>
      <c r="BP92" s="85"/>
      <c r="BQ92" s="85"/>
      <c r="BR92" s="85"/>
      <c r="BS92" s="85"/>
      <c r="BT92" s="85"/>
      <c r="BU92" s="85"/>
      <c r="BV92" s="85"/>
    </row>
    <row r="93" spans="1:74" s="86" customFormat="1" x14ac:dyDescent="0.2">
      <c r="A93" s="88">
        <v>1273</v>
      </c>
      <c r="B93" s="63" t="s">
        <v>144</v>
      </c>
      <c r="C93" s="64">
        <v>120</v>
      </c>
      <c r="D93" s="56">
        <f t="shared" si="155"/>
        <v>8177</v>
      </c>
      <c r="E93" s="141">
        <f>RCFs!$C$43</f>
        <v>68.141894999999991</v>
      </c>
      <c r="F93" s="56">
        <f t="shared" si="99"/>
        <v>2109.1999999999998</v>
      </c>
      <c r="G93" s="141">
        <f>RCFs!$C$5</f>
        <v>17.577000000000002</v>
      </c>
      <c r="H93" s="56">
        <f t="shared" si="161"/>
        <v>2109.1999999999998</v>
      </c>
      <c r="I93" s="141">
        <f>RCFs!$C$5</f>
        <v>17.577000000000002</v>
      </c>
      <c r="J93" s="65">
        <f t="shared" si="181"/>
        <v>2320.1999999999998</v>
      </c>
      <c r="K93" s="65">
        <f t="shared" si="181"/>
        <v>2889.7</v>
      </c>
      <c r="L93" s="65">
        <f t="shared" si="181"/>
        <v>3100.6</v>
      </c>
      <c r="M93" s="65">
        <f t="shared" si="181"/>
        <v>3417</v>
      </c>
      <c r="N93" s="65">
        <f t="shared" si="181"/>
        <v>4218.5</v>
      </c>
      <c r="O93" s="65">
        <f t="shared" si="181"/>
        <v>4534.8999999999996</v>
      </c>
      <c r="P93" s="65">
        <f t="shared" si="181"/>
        <v>6327.7</v>
      </c>
      <c r="Q93" s="56">
        <f t="shared" si="104"/>
        <v>2119.1999999999998</v>
      </c>
      <c r="R93" s="55">
        <f>RCFs!$C$7</f>
        <v>17.66</v>
      </c>
      <c r="S93" s="65">
        <f t="shared" si="131"/>
        <v>2754.9</v>
      </c>
      <c r="T93" s="65">
        <f t="shared" si="131"/>
        <v>3178.8</v>
      </c>
      <c r="U93" s="56">
        <f t="shared" si="162"/>
        <v>2044</v>
      </c>
      <c r="V93" s="55">
        <f>RCFs!$C$9</f>
        <v>17.033999999999999</v>
      </c>
      <c r="W93" s="56">
        <f t="shared" si="165"/>
        <v>2044.1</v>
      </c>
      <c r="X93" s="141">
        <f t="shared" si="107"/>
        <v>17.033999999999999</v>
      </c>
      <c r="Y93" s="65">
        <f t="shared" si="149"/>
        <v>2248.5</v>
      </c>
      <c r="Z93" s="65">
        <f t="shared" si="149"/>
        <v>2800.4</v>
      </c>
      <c r="AA93" s="65">
        <f t="shared" si="149"/>
        <v>3311.4</v>
      </c>
      <c r="AB93" s="65">
        <f t="shared" si="149"/>
        <v>3004.8</v>
      </c>
      <c r="AC93" s="65">
        <f t="shared" si="175"/>
        <v>4435.7</v>
      </c>
      <c r="AD93" s="65">
        <f t="shared" si="173"/>
        <v>6132.2</v>
      </c>
      <c r="AE93" s="56">
        <f t="shared" si="158"/>
        <v>1977.6</v>
      </c>
      <c r="AF93" s="55">
        <f>RCFs!$C$13</f>
        <v>16.48</v>
      </c>
      <c r="AG93" s="61">
        <f t="shared" si="169"/>
        <v>3263</v>
      </c>
      <c r="AH93" s="61">
        <f t="shared" si="169"/>
        <v>4153</v>
      </c>
      <c r="AI93" s="61">
        <f t="shared" si="169"/>
        <v>5932.8</v>
      </c>
      <c r="AJ93" s="56">
        <f t="shared" si="150"/>
        <v>2025.2</v>
      </c>
      <c r="AK93" s="141">
        <f>RCFs!$C$23</f>
        <v>16.876666666666669</v>
      </c>
      <c r="AL93" s="56">
        <f t="shared" si="151"/>
        <v>2790.8</v>
      </c>
      <c r="AM93" s="141">
        <f>RCFs!$C$27</f>
        <v>23.256666666666668</v>
      </c>
      <c r="AN93" s="142">
        <f t="shared" si="152"/>
        <v>2221.6</v>
      </c>
      <c r="AO93" s="141">
        <f>RCFs!$C$33</f>
        <v>18.513999999999999</v>
      </c>
      <c r="AP93" s="61">
        <f t="shared" si="95"/>
        <v>3332.4</v>
      </c>
      <c r="AQ93" s="142">
        <f t="shared" si="153"/>
        <v>2076.8000000000002</v>
      </c>
      <c r="AR93" s="141">
        <f>RCFs!$C$35</f>
        <v>17.306666666666668</v>
      </c>
      <c r="AS93" s="61">
        <f t="shared" si="129"/>
        <v>2699.8</v>
      </c>
      <c r="AT93" s="61">
        <f t="shared" si="129"/>
        <v>3011.3</v>
      </c>
      <c r="AU93" s="142">
        <f t="shared" si="108"/>
        <v>2143.1999999999998</v>
      </c>
      <c r="AV93" s="141">
        <f>RCFs!$C$37</f>
        <v>17.86</v>
      </c>
      <c r="AW93" s="142">
        <f t="shared" si="102"/>
        <v>2168.4</v>
      </c>
      <c r="AX93" s="141">
        <f>RCFs!$C$64</f>
        <v>18.07</v>
      </c>
      <c r="AY93" s="142">
        <f t="shared" si="108"/>
        <v>2198.8000000000002</v>
      </c>
      <c r="AZ93" s="141">
        <f>RCFs!$C$39</f>
        <v>18.323333333333334</v>
      </c>
      <c r="BA93" s="141">
        <f t="shared" ref="BA93" si="183">ROUNDDOWN(BB93*$C93,1)</f>
        <v>2109.4</v>
      </c>
      <c r="BB93" s="141">
        <f>RCFs!$C$41</f>
        <v>17.579000000000001</v>
      </c>
      <c r="BC93" s="84"/>
      <c r="BD93" s="84"/>
      <c r="BE93" s="84"/>
      <c r="BF93" s="84"/>
      <c r="BG93" s="84"/>
      <c r="BH93" s="84"/>
      <c r="BI93" s="84"/>
      <c r="BJ93" s="84"/>
      <c r="BK93" s="84"/>
      <c r="BL93" s="84"/>
      <c r="BM93" s="85"/>
      <c r="BN93" s="85"/>
      <c r="BO93" s="85"/>
      <c r="BP93" s="85"/>
      <c r="BQ93" s="85"/>
      <c r="BR93" s="85"/>
      <c r="BS93" s="85"/>
      <c r="BT93" s="85"/>
      <c r="BU93" s="85"/>
      <c r="BV93" s="85"/>
    </row>
    <row r="94" spans="1:74" s="86" customFormat="1" x14ac:dyDescent="0.2">
      <c r="A94" s="83">
        <v>1585</v>
      </c>
      <c r="B94" s="63" t="s">
        <v>75</v>
      </c>
      <c r="C94" s="64">
        <v>27</v>
      </c>
      <c r="D94" s="56">
        <f t="shared" si="155"/>
        <v>1839.8</v>
      </c>
      <c r="E94" s="141">
        <f>RCFs!$C$43</f>
        <v>68.141894999999991</v>
      </c>
      <c r="F94" s="56">
        <f t="shared" si="99"/>
        <v>474.6</v>
      </c>
      <c r="G94" s="141">
        <f>RCFs!$C$5</f>
        <v>17.577000000000002</v>
      </c>
      <c r="H94" s="56">
        <f t="shared" si="161"/>
        <v>474.6</v>
      </c>
      <c r="I94" s="141">
        <f>RCFs!$C$5</f>
        <v>17.577000000000002</v>
      </c>
      <c r="J94" s="65">
        <f t="shared" si="181"/>
        <v>522</v>
      </c>
      <c r="K94" s="65">
        <f t="shared" si="181"/>
        <v>650.20000000000005</v>
      </c>
      <c r="L94" s="65">
        <f t="shared" si="181"/>
        <v>697.6</v>
      </c>
      <c r="M94" s="65">
        <f t="shared" si="181"/>
        <v>768.8</v>
      </c>
      <c r="N94" s="65">
        <f t="shared" si="181"/>
        <v>949.2</v>
      </c>
      <c r="O94" s="65">
        <f t="shared" si="181"/>
        <v>1020.3</v>
      </c>
      <c r="P94" s="65">
        <f t="shared" si="181"/>
        <v>1423.7</v>
      </c>
      <c r="Q94" s="56">
        <f t="shared" si="104"/>
        <v>476.8</v>
      </c>
      <c r="R94" s="55">
        <f>RCFs!$C$7</f>
        <v>17.66</v>
      </c>
      <c r="S94" s="65">
        <f t="shared" si="131"/>
        <v>619.79999999999995</v>
      </c>
      <c r="T94" s="65">
        <f t="shared" si="131"/>
        <v>715.2</v>
      </c>
      <c r="U94" s="56">
        <f t="shared" si="162"/>
        <v>459.9</v>
      </c>
      <c r="V94" s="55">
        <f>RCFs!$C$9</f>
        <v>17.033999999999999</v>
      </c>
      <c r="W94" s="56">
        <f t="shared" si="165"/>
        <v>459.9</v>
      </c>
      <c r="X94" s="141">
        <f t="shared" si="107"/>
        <v>17.033999999999999</v>
      </c>
      <c r="Y94" s="65">
        <f t="shared" ref="Y94:AB112" si="184">ROUND($C94*$X94*Y$6,1)</f>
        <v>505.9</v>
      </c>
      <c r="Z94" s="65">
        <f t="shared" si="184"/>
        <v>630.1</v>
      </c>
      <c r="AA94" s="65">
        <f t="shared" si="184"/>
        <v>745.1</v>
      </c>
      <c r="AB94" s="65">
        <f t="shared" si="184"/>
        <v>676.1</v>
      </c>
      <c r="AC94" s="65">
        <f t="shared" si="175"/>
        <v>998</v>
      </c>
      <c r="AD94" s="65">
        <f t="shared" si="173"/>
        <v>1379.8</v>
      </c>
      <c r="AE94" s="56">
        <f t="shared" si="158"/>
        <v>445</v>
      </c>
      <c r="AF94" s="55">
        <f>RCFs!$C$13</f>
        <v>16.48</v>
      </c>
      <c r="AG94" s="61">
        <f t="shared" si="169"/>
        <v>734.3</v>
      </c>
      <c r="AH94" s="61">
        <f t="shared" si="169"/>
        <v>934.5</v>
      </c>
      <c r="AI94" s="61">
        <f t="shared" si="169"/>
        <v>1335</v>
      </c>
      <c r="AJ94" s="56">
        <f t="shared" si="150"/>
        <v>455.6</v>
      </c>
      <c r="AK94" s="141">
        <f>RCFs!$C$23</f>
        <v>16.876666666666669</v>
      </c>
      <c r="AL94" s="56">
        <f t="shared" si="151"/>
        <v>627.9</v>
      </c>
      <c r="AM94" s="141">
        <f>RCFs!$C$27</f>
        <v>23.256666666666668</v>
      </c>
      <c r="AN94" s="142">
        <f t="shared" si="152"/>
        <v>499.8</v>
      </c>
      <c r="AO94" s="141">
        <f>RCFs!$C$33</f>
        <v>18.513999999999999</v>
      </c>
      <c r="AP94" s="61">
        <f t="shared" si="95"/>
        <v>749.7</v>
      </c>
      <c r="AQ94" s="142">
        <f t="shared" si="153"/>
        <v>467.2</v>
      </c>
      <c r="AR94" s="141">
        <f>RCFs!$C$35</f>
        <v>17.306666666666668</v>
      </c>
      <c r="AS94" s="61">
        <f t="shared" si="129"/>
        <v>607.29999999999995</v>
      </c>
      <c r="AT94" s="61">
        <f t="shared" si="129"/>
        <v>677.4</v>
      </c>
      <c r="AU94" s="142">
        <f t="shared" si="108"/>
        <v>482.2</v>
      </c>
      <c r="AV94" s="141">
        <f>RCFs!$C$37</f>
        <v>17.86</v>
      </c>
      <c r="AW94" s="142">
        <f t="shared" si="102"/>
        <v>487.8</v>
      </c>
      <c r="AX94" s="141">
        <f>RCFs!$C$64</f>
        <v>18.07</v>
      </c>
      <c r="AY94" s="142">
        <f t="shared" si="108"/>
        <v>494.7</v>
      </c>
      <c r="AZ94" s="141">
        <f>RCFs!$C$39</f>
        <v>18.323333333333334</v>
      </c>
      <c r="BA94" s="141">
        <f t="shared" ref="BA94" si="185">ROUNDDOWN(BB94*$C94,1)</f>
        <v>474.6</v>
      </c>
      <c r="BB94" s="141">
        <f>RCFs!$C$41</f>
        <v>17.579000000000001</v>
      </c>
      <c r="BC94" s="84"/>
      <c r="BD94" s="84"/>
      <c r="BE94" s="84"/>
      <c r="BF94" s="84"/>
      <c r="BG94" s="84"/>
      <c r="BH94" s="84"/>
      <c r="BI94" s="84"/>
      <c r="BJ94" s="84"/>
      <c r="BK94" s="84"/>
      <c r="BL94" s="84"/>
      <c r="BM94" s="85"/>
      <c r="BN94" s="85"/>
      <c r="BO94" s="85"/>
      <c r="BP94" s="85"/>
      <c r="BQ94" s="85"/>
      <c r="BR94" s="85"/>
      <c r="BS94" s="85"/>
      <c r="BT94" s="85"/>
      <c r="BU94" s="85"/>
      <c r="BV94" s="85"/>
    </row>
    <row r="95" spans="1:74" s="86" customFormat="1" x14ac:dyDescent="0.2">
      <c r="A95" s="83">
        <v>1780</v>
      </c>
      <c r="B95" s="63" t="s">
        <v>76</v>
      </c>
      <c r="C95" s="64">
        <v>8</v>
      </c>
      <c r="D95" s="56">
        <f t="shared" si="155"/>
        <v>545.1</v>
      </c>
      <c r="E95" s="141">
        <f>RCFs!$C$43</f>
        <v>68.141894999999991</v>
      </c>
      <c r="F95" s="56">
        <f t="shared" si="99"/>
        <v>140.6</v>
      </c>
      <c r="G95" s="141">
        <f>RCFs!$C$5</f>
        <v>17.577000000000002</v>
      </c>
      <c r="H95" s="56">
        <f t="shared" si="161"/>
        <v>140.6</v>
      </c>
      <c r="I95" s="141">
        <f>RCFs!$C$5</f>
        <v>17.577000000000002</v>
      </c>
      <c r="J95" s="65">
        <f t="shared" si="181"/>
        <v>154.69999999999999</v>
      </c>
      <c r="K95" s="65">
        <f t="shared" si="181"/>
        <v>192.6</v>
      </c>
      <c r="L95" s="65">
        <f t="shared" si="181"/>
        <v>206.7</v>
      </c>
      <c r="M95" s="65">
        <f t="shared" si="181"/>
        <v>227.8</v>
      </c>
      <c r="N95" s="65">
        <f t="shared" si="181"/>
        <v>281.2</v>
      </c>
      <c r="O95" s="65">
        <f t="shared" si="181"/>
        <v>302.3</v>
      </c>
      <c r="P95" s="65">
        <f t="shared" si="181"/>
        <v>421.8</v>
      </c>
      <c r="Q95" s="56">
        <f t="shared" si="104"/>
        <v>141.30000000000001</v>
      </c>
      <c r="R95" s="55">
        <f>RCFs!$C$7</f>
        <v>17.66</v>
      </c>
      <c r="S95" s="65">
        <f t="shared" si="131"/>
        <v>183.6</v>
      </c>
      <c r="T95" s="65">
        <f t="shared" si="131"/>
        <v>211.9</v>
      </c>
      <c r="U95" s="56">
        <f t="shared" si="162"/>
        <v>136.19999999999999</v>
      </c>
      <c r="V95" s="55">
        <f>RCFs!$C$9</f>
        <v>17.033999999999999</v>
      </c>
      <c r="W95" s="56">
        <f t="shared" si="165"/>
        <v>136.30000000000001</v>
      </c>
      <c r="X95" s="141">
        <f t="shared" si="107"/>
        <v>17.033999999999999</v>
      </c>
      <c r="Y95" s="65">
        <f t="shared" si="184"/>
        <v>149.9</v>
      </c>
      <c r="Z95" s="65">
        <f t="shared" si="184"/>
        <v>186.7</v>
      </c>
      <c r="AA95" s="65">
        <f t="shared" si="184"/>
        <v>220.8</v>
      </c>
      <c r="AB95" s="65">
        <f t="shared" si="184"/>
        <v>200.3</v>
      </c>
      <c r="AC95" s="65">
        <f t="shared" si="175"/>
        <v>295.7</v>
      </c>
      <c r="AD95" s="65">
        <f t="shared" si="173"/>
        <v>408.8</v>
      </c>
      <c r="AE95" s="56">
        <f t="shared" si="158"/>
        <v>131.80000000000001</v>
      </c>
      <c r="AF95" s="55">
        <f>RCFs!$C$13</f>
        <v>16.48</v>
      </c>
      <c r="AG95" s="61">
        <f t="shared" si="169"/>
        <v>217.5</v>
      </c>
      <c r="AH95" s="61">
        <f t="shared" si="169"/>
        <v>276.8</v>
      </c>
      <c r="AI95" s="61">
        <f t="shared" si="169"/>
        <v>395.4</v>
      </c>
      <c r="AJ95" s="56">
        <f t="shared" si="150"/>
        <v>135</v>
      </c>
      <c r="AK95" s="141">
        <f>RCFs!$C$23</f>
        <v>16.876666666666669</v>
      </c>
      <c r="AL95" s="56">
        <f t="shared" si="151"/>
        <v>186.1</v>
      </c>
      <c r="AM95" s="141">
        <f>RCFs!$C$27</f>
        <v>23.256666666666668</v>
      </c>
      <c r="AN95" s="142">
        <f t="shared" si="152"/>
        <v>148.1</v>
      </c>
      <c r="AO95" s="141">
        <f>RCFs!$C$33</f>
        <v>18.513999999999999</v>
      </c>
      <c r="AP95" s="61">
        <f t="shared" si="95"/>
        <v>222.1</v>
      </c>
      <c r="AQ95" s="142">
        <f t="shared" si="153"/>
        <v>138.4</v>
      </c>
      <c r="AR95" s="141">
        <f>RCFs!$C$35</f>
        <v>17.306666666666668</v>
      </c>
      <c r="AS95" s="61">
        <f t="shared" si="129"/>
        <v>179.9</v>
      </c>
      <c r="AT95" s="61">
        <f t="shared" si="129"/>
        <v>200.6</v>
      </c>
      <c r="AU95" s="142">
        <f t="shared" si="108"/>
        <v>142.80000000000001</v>
      </c>
      <c r="AV95" s="141">
        <f>RCFs!$C$37</f>
        <v>17.86</v>
      </c>
      <c r="AW95" s="142">
        <f t="shared" si="102"/>
        <v>144.5</v>
      </c>
      <c r="AX95" s="141">
        <f>RCFs!$C$64</f>
        <v>18.07</v>
      </c>
      <c r="AY95" s="142">
        <f t="shared" si="108"/>
        <v>146.5</v>
      </c>
      <c r="AZ95" s="141">
        <f>RCFs!$C$39</f>
        <v>18.323333333333334</v>
      </c>
      <c r="BA95" s="141">
        <f t="shared" ref="BA95" si="186">ROUNDDOWN(BB95*$C95,1)</f>
        <v>140.6</v>
      </c>
      <c r="BB95" s="141">
        <f>RCFs!$C$41</f>
        <v>17.579000000000001</v>
      </c>
      <c r="BC95" s="84"/>
      <c r="BD95" s="84"/>
      <c r="BE95" s="84"/>
      <c r="BF95" s="84"/>
      <c r="BG95" s="84"/>
      <c r="BH95" s="84"/>
      <c r="BI95" s="84"/>
      <c r="BJ95" s="84"/>
      <c r="BK95" s="84"/>
      <c r="BL95" s="84"/>
      <c r="BM95" s="85"/>
      <c r="BN95" s="85"/>
      <c r="BO95" s="85"/>
      <c r="BP95" s="85"/>
      <c r="BQ95" s="85"/>
      <c r="BR95" s="85"/>
      <c r="BS95" s="85"/>
      <c r="BT95" s="85"/>
      <c r="BU95" s="85"/>
      <c r="BV95" s="85"/>
    </row>
    <row r="96" spans="1:74" s="86" customFormat="1" x14ac:dyDescent="0.2">
      <c r="A96" s="83">
        <v>1800</v>
      </c>
      <c r="B96" s="63" t="s">
        <v>77</v>
      </c>
      <c r="C96" s="64">
        <v>20</v>
      </c>
      <c r="D96" s="56">
        <f t="shared" si="155"/>
        <v>1362.8</v>
      </c>
      <c r="E96" s="141">
        <f>RCFs!$C$43</f>
        <v>68.141894999999991</v>
      </c>
      <c r="F96" s="56">
        <f t="shared" si="99"/>
        <v>351.5</v>
      </c>
      <c r="G96" s="141">
        <f>RCFs!$C$5</f>
        <v>17.577000000000002</v>
      </c>
      <c r="H96" s="56">
        <f t="shared" si="161"/>
        <v>351.5</v>
      </c>
      <c r="I96" s="141">
        <f>RCFs!$C$5</f>
        <v>17.577000000000002</v>
      </c>
      <c r="J96" s="65">
        <f t="shared" si="181"/>
        <v>386.7</v>
      </c>
      <c r="K96" s="65">
        <f t="shared" si="181"/>
        <v>481.6</v>
      </c>
      <c r="L96" s="65">
        <f t="shared" si="181"/>
        <v>516.79999999999995</v>
      </c>
      <c r="M96" s="65">
        <f t="shared" si="181"/>
        <v>569.5</v>
      </c>
      <c r="N96" s="65">
        <f t="shared" si="181"/>
        <v>703.1</v>
      </c>
      <c r="O96" s="65">
        <f t="shared" si="181"/>
        <v>755.8</v>
      </c>
      <c r="P96" s="65">
        <f t="shared" si="181"/>
        <v>1054.5999999999999</v>
      </c>
      <c r="Q96" s="56">
        <f t="shared" si="104"/>
        <v>353.2</v>
      </c>
      <c r="R96" s="55">
        <f>RCFs!$C$7</f>
        <v>17.66</v>
      </c>
      <c r="S96" s="65">
        <f t="shared" si="131"/>
        <v>459.1</v>
      </c>
      <c r="T96" s="65">
        <f t="shared" si="131"/>
        <v>529.79999999999995</v>
      </c>
      <c r="U96" s="56">
        <f t="shared" si="162"/>
        <v>340.6</v>
      </c>
      <c r="V96" s="55">
        <f>RCFs!$C$9</f>
        <v>17.033999999999999</v>
      </c>
      <c r="W96" s="56">
        <f t="shared" si="165"/>
        <v>340.7</v>
      </c>
      <c r="X96" s="141">
        <f t="shared" si="107"/>
        <v>17.033999999999999</v>
      </c>
      <c r="Y96" s="65">
        <f t="shared" si="184"/>
        <v>374.7</v>
      </c>
      <c r="Z96" s="65">
        <f t="shared" si="184"/>
        <v>466.7</v>
      </c>
      <c r="AA96" s="65">
        <f t="shared" si="184"/>
        <v>551.9</v>
      </c>
      <c r="AB96" s="65">
        <f t="shared" si="184"/>
        <v>500.8</v>
      </c>
      <c r="AC96" s="65">
        <f t="shared" si="175"/>
        <v>739.3</v>
      </c>
      <c r="AD96" s="65">
        <f t="shared" si="173"/>
        <v>1022</v>
      </c>
      <c r="AE96" s="56">
        <f t="shared" si="158"/>
        <v>329.6</v>
      </c>
      <c r="AF96" s="55">
        <f>RCFs!$C$13</f>
        <v>16.48</v>
      </c>
      <c r="AG96" s="61">
        <f t="shared" si="169"/>
        <v>543.79999999999995</v>
      </c>
      <c r="AH96" s="61">
        <f t="shared" si="169"/>
        <v>692.2</v>
      </c>
      <c r="AI96" s="61">
        <f t="shared" si="169"/>
        <v>988.8</v>
      </c>
      <c r="AJ96" s="56">
        <f t="shared" si="150"/>
        <v>337.5</v>
      </c>
      <c r="AK96" s="141">
        <f>RCFs!$C$23</f>
        <v>16.876666666666669</v>
      </c>
      <c r="AL96" s="56">
        <f t="shared" si="151"/>
        <v>465.1</v>
      </c>
      <c r="AM96" s="141">
        <f>RCFs!$C$27</f>
        <v>23.256666666666668</v>
      </c>
      <c r="AN96" s="142">
        <f t="shared" si="152"/>
        <v>370.2</v>
      </c>
      <c r="AO96" s="141">
        <f>RCFs!$C$33</f>
        <v>18.513999999999999</v>
      </c>
      <c r="AP96" s="61">
        <f t="shared" si="95"/>
        <v>555.29999999999995</v>
      </c>
      <c r="AQ96" s="142">
        <f t="shared" si="153"/>
        <v>346.1</v>
      </c>
      <c r="AR96" s="141">
        <f>RCFs!$C$35</f>
        <v>17.306666666666668</v>
      </c>
      <c r="AS96" s="61">
        <f t="shared" si="129"/>
        <v>449.9</v>
      </c>
      <c r="AT96" s="61">
        <f t="shared" si="129"/>
        <v>501.8</v>
      </c>
      <c r="AU96" s="142">
        <f t="shared" si="108"/>
        <v>357.2</v>
      </c>
      <c r="AV96" s="141">
        <f>RCFs!$C$37</f>
        <v>17.86</v>
      </c>
      <c r="AW96" s="142">
        <f t="shared" si="102"/>
        <v>361.4</v>
      </c>
      <c r="AX96" s="141">
        <f>RCFs!$C$64</f>
        <v>18.07</v>
      </c>
      <c r="AY96" s="142">
        <f t="shared" si="108"/>
        <v>366.4</v>
      </c>
      <c r="AZ96" s="141">
        <f>RCFs!$C$39</f>
        <v>18.323333333333334</v>
      </c>
      <c r="BA96" s="141">
        <f t="shared" ref="BA96" si="187">ROUNDDOWN(BB96*$C96,1)</f>
        <v>351.5</v>
      </c>
      <c r="BB96" s="141">
        <f>RCFs!$C$41</f>
        <v>17.579000000000001</v>
      </c>
      <c r="BC96" s="84"/>
      <c r="BD96" s="84"/>
      <c r="BE96" s="84"/>
      <c r="BF96" s="84"/>
      <c r="BG96" s="84"/>
      <c r="BH96" s="84"/>
      <c r="BI96" s="84"/>
      <c r="BJ96" s="84"/>
      <c r="BK96" s="84"/>
      <c r="BL96" s="84"/>
      <c r="BM96" s="85"/>
      <c r="BN96" s="85"/>
      <c r="BO96" s="85"/>
      <c r="BP96" s="85"/>
      <c r="BQ96" s="85"/>
      <c r="BR96" s="85"/>
      <c r="BS96" s="85"/>
      <c r="BT96" s="85"/>
      <c r="BU96" s="85"/>
      <c r="BV96" s="85"/>
    </row>
    <row r="97" spans="1:74" s="86" customFormat="1" x14ac:dyDescent="0.2">
      <c r="A97" s="83">
        <v>1967</v>
      </c>
      <c r="B97" s="63" t="s">
        <v>79</v>
      </c>
      <c r="C97" s="64">
        <v>15</v>
      </c>
      <c r="D97" s="56">
        <f t="shared" si="155"/>
        <v>1022.1</v>
      </c>
      <c r="E97" s="141">
        <f>RCFs!$C$43</f>
        <v>68.141894999999991</v>
      </c>
      <c r="F97" s="56">
        <f t="shared" si="99"/>
        <v>263.7</v>
      </c>
      <c r="G97" s="141">
        <f>RCFs!$C$5</f>
        <v>17.577000000000002</v>
      </c>
      <c r="H97" s="56">
        <f t="shared" si="161"/>
        <v>263.7</v>
      </c>
      <c r="I97" s="141">
        <f>RCFs!$C$5</f>
        <v>17.577000000000002</v>
      </c>
      <c r="J97" s="65">
        <f t="shared" si="181"/>
        <v>290</v>
      </c>
      <c r="K97" s="65">
        <f t="shared" si="181"/>
        <v>361.2</v>
      </c>
      <c r="L97" s="65">
        <f t="shared" si="181"/>
        <v>387.6</v>
      </c>
      <c r="M97" s="65">
        <f t="shared" si="181"/>
        <v>427.1</v>
      </c>
      <c r="N97" s="65">
        <f t="shared" si="181"/>
        <v>527.29999999999995</v>
      </c>
      <c r="O97" s="65">
        <f t="shared" si="181"/>
        <v>566.9</v>
      </c>
      <c r="P97" s="65">
        <f t="shared" si="181"/>
        <v>791</v>
      </c>
      <c r="Q97" s="56">
        <f t="shared" si="104"/>
        <v>264.89999999999998</v>
      </c>
      <c r="R97" s="55">
        <f>RCFs!$C$7</f>
        <v>17.66</v>
      </c>
      <c r="S97" s="65">
        <f t="shared" si="131"/>
        <v>344.3</v>
      </c>
      <c r="T97" s="65">
        <f t="shared" si="131"/>
        <v>397.3</v>
      </c>
      <c r="U97" s="56">
        <f t="shared" si="162"/>
        <v>255.5</v>
      </c>
      <c r="V97" s="55">
        <f>RCFs!$C$9</f>
        <v>17.033999999999999</v>
      </c>
      <c r="W97" s="56">
        <f t="shared" si="165"/>
        <v>255.5</v>
      </c>
      <c r="X97" s="141">
        <f t="shared" si="107"/>
        <v>17.033999999999999</v>
      </c>
      <c r="Y97" s="65">
        <f t="shared" si="184"/>
        <v>281.10000000000002</v>
      </c>
      <c r="Z97" s="65">
        <f t="shared" si="184"/>
        <v>350</v>
      </c>
      <c r="AA97" s="65">
        <f t="shared" si="184"/>
        <v>413.9</v>
      </c>
      <c r="AB97" s="65">
        <f t="shared" si="184"/>
        <v>375.6</v>
      </c>
      <c r="AC97" s="65">
        <f t="shared" si="175"/>
        <v>554.5</v>
      </c>
      <c r="AD97" s="65">
        <f t="shared" si="173"/>
        <v>766.5</v>
      </c>
      <c r="AE97" s="56">
        <f t="shared" si="158"/>
        <v>247.2</v>
      </c>
      <c r="AF97" s="55">
        <f>RCFs!$C$13</f>
        <v>16.48</v>
      </c>
      <c r="AG97" s="61">
        <f t="shared" si="169"/>
        <v>407.9</v>
      </c>
      <c r="AH97" s="61">
        <f t="shared" si="169"/>
        <v>519.1</v>
      </c>
      <c r="AI97" s="61">
        <f t="shared" si="169"/>
        <v>741.6</v>
      </c>
      <c r="AJ97" s="56">
        <f t="shared" si="150"/>
        <v>253.1</v>
      </c>
      <c r="AK97" s="141">
        <f>RCFs!$C$23</f>
        <v>16.876666666666669</v>
      </c>
      <c r="AL97" s="56">
        <f t="shared" si="151"/>
        <v>348.9</v>
      </c>
      <c r="AM97" s="141">
        <f>RCFs!$C$27</f>
        <v>23.256666666666668</v>
      </c>
      <c r="AN97" s="142">
        <f t="shared" si="152"/>
        <v>277.7</v>
      </c>
      <c r="AO97" s="141">
        <f>RCFs!$C$33</f>
        <v>18.513999999999999</v>
      </c>
      <c r="AP97" s="61">
        <f t="shared" si="95"/>
        <v>416.5</v>
      </c>
      <c r="AQ97" s="142">
        <f t="shared" si="153"/>
        <v>259.60000000000002</v>
      </c>
      <c r="AR97" s="141">
        <f>RCFs!$C$35</f>
        <v>17.306666666666668</v>
      </c>
      <c r="AS97" s="61">
        <f t="shared" si="129"/>
        <v>337.4</v>
      </c>
      <c r="AT97" s="61">
        <f t="shared" si="129"/>
        <v>376.4</v>
      </c>
      <c r="AU97" s="142">
        <f t="shared" si="108"/>
        <v>267.89999999999998</v>
      </c>
      <c r="AV97" s="141">
        <f>RCFs!$C$37</f>
        <v>17.86</v>
      </c>
      <c r="AW97" s="142">
        <f t="shared" si="102"/>
        <v>271</v>
      </c>
      <c r="AX97" s="141">
        <f>RCFs!$C$64</f>
        <v>18.07</v>
      </c>
      <c r="AY97" s="142">
        <f t="shared" si="108"/>
        <v>274.8</v>
      </c>
      <c r="AZ97" s="141">
        <f>RCFs!$C$39</f>
        <v>18.323333333333334</v>
      </c>
      <c r="BA97" s="141">
        <f t="shared" ref="BA97" si="188">ROUNDDOWN(BB97*$C97,1)</f>
        <v>263.60000000000002</v>
      </c>
      <c r="BB97" s="141">
        <f>RCFs!$C$41</f>
        <v>17.579000000000001</v>
      </c>
      <c r="BC97" s="84"/>
      <c r="BD97" s="84"/>
      <c r="BE97" s="84"/>
      <c r="BF97" s="84"/>
      <c r="BG97" s="84"/>
      <c r="BH97" s="84"/>
      <c r="BI97" s="84"/>
      <c r="BJ97" s="84"/>
      <c r="BK97" s="84"/>
      <c r="BL97" s="84"/>
      <c r="BM97" s="85"/>
      <c r="BN97" s="85"/>
      <c r="BO97" s="85"/>
      <c r="BP97" s="85"/>
      <c r="BQ97" s="85"/>
      <c r="BR97" s="85"/>
      <c r="BS97" s="85"/>
      <c r="BT97" s="85"/>
      <c r="BU97" s="85"/>
      <c r="BV97" s="85"/>
    </row>
    <row r="98" spans="1:74" s="86" customFormat="1" x14ac:dyDescent="0.2">
      <c r="A98" s="88">
        <v>1995</v>
      </c>
      <c r="B98" s="63" t="s">
        <v>145</v>
      </c>
      <c r="C98" s="64">
        <v>10</v>
      </c>
      <c r="D98" s="56">
        <f t="shared" si="155"/>
        <v>681.4</v>
      </c>
      <c r="E98" s="141">
        <f>RCFs!$C$43</f>
        <v>68.141894999999991</v>
      </c>
      <c r="F98" s="56">
        <f t="shared" si="99"/>
        <v>175.8</v>
      </c>
      <c r="G98" s="141">
        <f>RCFs!$C$5</f>
        <v>17.577000000000002</v>
      </c>
      <c r="H98" s="56">
        <f t="shared" si="161"/>
        <v>175.8</v>
      </c>
      <c r="I98" s="141">
        <f>RCFs!$C$5</f>
        <v>17.577000000000002</v>
      </c>
      <c r="J98" s="65">
        <f t="shared" si="181"/>
        <v>193.3</v>
      </c>
      <c r="K98" s="65">
        <f t="shared" si="181"/>
        <v>240.8</v>
      </c>
      <c r="L98" s="65">
        <f t="shared" si="181"/>
        <v>258.39999999999998</v>
      </c>
      <c r="M98" s="65">
        <f t="shared" si="181"/>
        <v>284.7</v>
      </c>
      <c r="N98" s="65">
        <f t="shared" si="181"/>
        <v>351.5</v>
      </c>
      <c r="O98" s="65">
        <f t="shared" si="181"/>
        <v>377.9</v>
      </c>
      <c r="P98" s="65">
        <f t="shared" si="181"/>
        <v>527.29999999999995</v>
      </c>
      <c r="Q98" s="56">
        <f t="shared" si="104"/>
        <v>176.6</v>
      </c>
      <c r="R98" s="55">
        <f>RCFs!$C$7</f>
        <v>17.66</v>
      </c>
      <c r="S98" s="65">
        <f t="shared" si="131"/>
        <v>229.5</v>
      </c>
      <c r="T98" s="65">
        <f t="shared" si="131"/>
        <v>264.89999999999998</v>
      </c>
      <c r="U98" s="56">
        <f t="shared" si="162"/>
        <v>170.3</v>
      </c>
      <c r="V98" s="55">
        <f>RCFs!$C$9</f>
        <v>17.033999999999999</v>
      </c>
      <c r="W98" s="56">
        <f t="shared" si="165"/>
        <v>170.3</v>
      </c>
      <c r="X98" s="141">
        <f t="shared" si="107"/>
        <v>17.033999999999999</v>
      </c>
      <c r="Y98" s="65">
        <f t="shared" si="184"/>
        <v>187.4</v>
      </c>
      <c r="Z98" s="65">
        <f t="shared" si="184"/>
        <v>233.4</v>
      </c>
      <c r="AA98" s="65">
        <f t="shared" si="184"/>
        <v>276</v>
      </c>
      <c r="AB98" s="65">
        <f t="shared" si="184"/>
        <v>250.4</v>
      </c>
      <c r="AC98" s="65">
        <f t="shared" si="175"/>
        <v>369.6</v>
      </c>
      <c r="AD98" s="65">
        <f t="shared" si="173"/>
        <v>511</v>
      </c>
      <c r="AE98" s="56">
        <f t="shared" si="158"/>
        <v>164.8</v>
      </c>
      <c r="AF98" s="55">
        <f>RCFs!$C$13</f>
        <v>16.48</v>
      </c>
      <c r="AG98" s="61">
        <f t="shared" si="169"/>
        <v>271.89999999999998</v>
      </c>
      <c r="AH98" s="61">
        <f t="shared" si="169"/>
        <v>346.1</v>
      </c>
      <c r="AI98" s="61">
        <f t="shared" si="169"/>
        <v>494.4</v>
      </c>
      <c r="AJ98" s="56">
        <f t="shared" si="150"/>
        <v>168.7</v>
      </c>
      <c r="AK98" s="141">
        <f>RCFs!$C$23</f>
        <v>16.876666666666669</v>
      </c>
      <c r="AL98" s="56">
        <f t="shared" si="151"/>
        <v>232.6</v>
      </c>
      <c r="AM98" s="141">
        <f>RCFs!$C$27</f>
        <v>23.256666666666668</v>
      </c>
      <c r="AN98" s="142">
        <f t="shared" si="152"/>
        <v>185.1</v>
      </c>
      <c r="AO98" s="141">
        <f>RCFs!$C$33</f>
        <v>18.513999999999999</v>
      </c>
      <c r="AP98" s="61">
        <f t="shared" si="95"/>
        <v>277.60000000000002</v>
      </c>
      <c r="AQ98" s="142">
        <f t="shared" si="153"/>
        <v>173</v>
      </c>
      <c r="AR98" s="141">
        <f>RCFs!$C$35</f>
        <v>17.306666666666668</v>
      </c>
      <c r="AS98" s="61">
        <f t="shared" si="129"/>
        <v>224.9</v>
      </c>
      <c r="AT98" s="61">
        <f t="shared" si="129"/>
        <v>250.8</v>
      </c>
      <c r="AU98" s="142">
        <f t="shared" si="108"/>
        <v>178.6</v>
      </c>
      <c r="AV98" s="141">
        <f>RCFs!$C$37</f>
        <v>17.86</v>
      </c>
      <c r="AW98" s="142">
        <f t="shared" si="102"/>
        <v>180.7</v>
      </c>
      <c r="AX98" s="141">
        <f>RCFs!$C$64</f>
        <v>18.07</v>
      </c>
      <c r="AY98" s="142">
        <f t="shared" si="108"/>
        <v>183.2</v>
      </c>
      <c r="AZ98" s="141">
        <f>RCFs!$C$39</f>
        <v>18.323333333333334</v>
      </c>
      <c r="BA98" s="141">
        <f t="shared" ref="BA98" si="189">ROUNDDOWN(BB98*$C98,1)</f>
        <v>175.7</v>
      </c>
      <c r="BB98" s="141">
        <f>RCFs!$C$41</f>
        <v>17.579000000000001</v>
      </c>
      <c r="BC98" s="84"/>
      <c r="BD98" s="84"/>
      <c r="BE98" s="84"/>
      <c r="BF98" s="84"/>
      <c r="BG98" s="84"/>
      <c r="BH98" s="84"/>
      <c r="BI98" s="84"/>
      <c r="BJ98" s="84"/>
      <c r="BK98" s="84"/>
      <c r="BL98" s="84"/>
      <c r="BM98" s="85"/>
      <c r="BN98" s="85"/>
      <c r="BO98" s="85"/>
      <c r="BP98" s="85"/>
      <c r="BQ98" s="85"/>
      <c r="BR98" s="85"/>
      <c r="BS98" s="85"/>
      <c r="BT98" s="85"/>
      <c r="BU98" s="85"/>
      <c r="BV98" s="85"/>
    </row>
    <row r="99" spans="1:74" s="86" customFormat="1" x14ac:dyDescent="0.2">
      <c r="A99" s="83">
        <v>1996</v>
      </c>
      <c r="B99" s="63" t="s">
        <v>78</v>
      </c>
      <c r="C99" s="64">
        <v>6</v>
      </c>
      <c r="D99" s="56">
        <f t="shared" si="155"/>
        <v>408.9</v>
      </c>
      <c r="E99" s="141">
        <f>RCFs!$C$43</f>
        <v>68.141894999999991</v>
      </c>
      <c r="F99" s="56">
        <f t="shared" si="99"/>
        <v>105.5</v>
      </c>
      <c r="G99" s="141">
        <f>RCFs!$C$5</f>
        <v>17.577000000000002</v>
      </c>
      <c r="H99" s="56">
        <f t="shared" si="161"/>
        <v>105.5</v>
      </c>
      <c r="I99" s="141">
        <f>RCFs!$C$5</f>
        <v>17.577000000000002</v>
      </c>
      <c r="J99" s="65">
        <f t="shared" si="181"/>
        <v>116</v>
      </c>
      <c r="K99" s="65">
        <f t="shared" si="181"/>
        <v>144.5</v>
      </c>
      <c r="L99" s="65">
        <f t="shared" si="181"/>
        <v>155</v>
      </c>
      <c r="M99" s="65">
        <f t="shared" si="181"/>
        <v>170.8</v>
      </c>
      <c r="N99" s="65">
        <f t="shared" si="181"/>
        <v>210.9</v>
      </c>
      <c r="O99" s="65">
        <f t="shared" si="181"/>
        <v>226.7</v>
      </c>
      <c r="P99" s="65">
        <f t="shared" si="181"/>
        <v>316.39999999999998</v>
      </c>
      <c r="Q99" s="56">
        <f t="shared" si="104"/>
        <v>106</v>
      </c>
      <c r="R99" s="55">
        <f>RCFs!$C$7</f>
        <v>17.66</v>
      </c>
      <c r="S99" s="65">
        <f t="shared" si="131"/>
        <v>137.80000000000001</v>
      </c>
      <c r="T99" s="65">
        <f t="shared" si="131"/>
        <v>159</v>
      </c>
      <c r="U99" s="56">
        <f t="shared" si="162"/>
        <v>102.2</v>
      </c>
      <c r="V99" s="55">
        <f>RCFs!$C$9</f>
        <v>17.033999999999999</v>
      </c>
      <c r="W99" s="56">
        <f t="shared" si="165"/>
        <v>102.2</v>
      </c>
      <c r="X99" s="141">
        <f t="shared" si="107"/>
        <v>17.033999999999999</v>
      </c>
      <c r="Y99" s="65">
        <f t="shared" si="184"/>
        <v>112.4</v>
      </c>
      <c r="Z99" s="65">
        <f t="shared" si="184"/>
        <v>140</v>
      </c>
      <c r="AA99" s="65">
        <f t="shared" si="184"/>
        <v>165.6</v>
      </c>
      <c r="AB99" s="65">
        <f t="shared" si="184"/>
        <v>150.19999999999999</v>
      </c>
      <c r="AC99" s="65">
        <f t="shared" si="175"/>
        <v>221.8</v>
      </c>
      <c r="AD99" s="65">
        <f t="shared" si="173"/>
        <v>306.60000000000002</v>
      </c>
      <c r="AE99" s="56">
        <f t="shared" si="158"/>
        <v>98.9</v>
      </c>
      <c r="AF99" s="55">
        <f>RCFs!$C$13</f>
        <v>16.48</v>
      </c>
      <c r="AG99" s="61">
        <f t="shared" si="169"/>
        <v>163.19999999999999</v>
      </c>
      <c r="AH99" s="61">
        <f t="shared" si="169"/>
        <v>207.7</v>
      </c>
      <c r="AI99" s="61">
        <f t="shared" si="169"/>
        <v>296.7</v>
      </c>
      <c r="AJ99" s="56">
        <f t="shared" si="150"/>
        <v>101.2</v>
      </c>
      <c r="AK99" s="141">
        <f>RCFs!$C$23</f>
        <v>16.876666666666669</v>
      </c>
      <c r="AL99" s="56">
        <f t="shared" si="151"/>
        <v>139.5</v>
      </c>
      <c r="AM99" s="141">
        <f>RCFs!$C$27</f>
        <v>23.256666666666668</v>
      </c>
      <c r="AN99" s="142">
        <f t="shared" si="152"/>
        <v>111</v>
      </c>
      <c r="AO99" s="141">
        <f>RCFs!$C$33</f>
        <v>18.513999999999999</v>
      </c>
      <c r="AP99" s="61">
        <f t="shared" si="95"/>
        <v>166.5</v>
      </c>
      <c r="AQ99" s="142">
        <f t="shared" si="153"/>
        <v>103.8</v>
      </c>
      <c r="AR99" s="141">
        <f>RCFs!$C$35</f>
        <v>17.306666666666668</v>
      </c>
      <c r="AS99" s="61">
        <f t="shared" si="129"/>
        <v>134.9</v>
      </c>
      <c r="AT99" s="61">
        <f t="shared" si="129"/>
        <v>150.5</v>
      </c>
      <c r="AU99" s="142">
        <f t="shared" si="108"/>
        <v>107.1</v>
      </c>
      <c r="AV99" s="141">
        <f>RCFs!$C$37</f>
        <v>17.86</v>
      </c>
      <c r="AW99" s="142">
        <f t="shared" si="102"/>
        <v>108.4</v>
      </c>
      <c r="AX99" s="141">
        <f>RCFs!$C$64</f>
        <v>18.07</v>
      </c>
      <c r="AY99" s="142">
        <f t="shared" si="108"/>
        <v>109.9</v>
      </c>
      <c r="AZ99" s="141">
        <f>RCFs!$C$39</f>
        <v>18.323333333333334</v>
      </c>
      <c r="BA99" s="141">
        <f t="shared" ref="BA99" si="190">ROUNDDOWN(BB99*$C99,1)</f>
        <v>105.4</v>
      </c>
      <c r="BB99" s="141">
        <f>RCFs!$C$41</f>
        <v>17.579000000000001</v>
      </c>
      <c r="BC99" s="84"/>
      <c r="BD99" s="84"/>
      <c r="BE99" s="84"/>
      <c r="BF99" s="84"/>
      <c r="BG99" s="84"/>
      <c r="BH99" s="84"/>
      <c r="BI99" s="84"/>
      <c r="BJ99" s="84"/>
      <c r="BK99" s="84"/>
      <c r="BL99" s="84"/>
      <c r="BM99" s="85"/>
      <c r="BN99" s="85"/>
      <c r="BO99" s="85"/>
      <c r="BP99" s="85"/>
      <c r="BQ99" s="85"/>
      <c r="BR99" s="85"/>
      <c r="BS99" s="85"/>
      <c r="BT99" s="85"/>
      <c r="BU99" s="85"/>
      <c r="BV99" s="85"/>
    </row>
    <row r="100" spans="1:74" s="86" customFormat="1" x14ac:dyDescent="0.2">
      <c r="A100" s="88">
        <v>1997</v>
      </c>
      <c r="B100" s="63" t="s">
        <v>146</v>
      </c>
      <c r="C100" s="64">
        <v>3</v>
      </c>
      <c r="D100" s="56">
        <f t="shared" si="155"/>
        <v>204.4</v>
      </c>
      <c r="E100" s="141">
        <f>RCFs!$C$43</f>
        <v>68.141894999999991</v>
      </c>
      <c r="F100" s="56">
        <f t="shared" si="99"/>
        <v>52.7</v>
      </c>
      <c r="G100" s="141">
        <f>RCFs!$C$5</f>
        <v>17.577000000000002</v>
      </c>
      <c r="H100" s="56">
        <f t="shared" si="161"/>
        <v>52.7</v>
      </c>
      <c r="I100" s="141">
        <f>RCFs!$C$5</f>
        <v>17.577000000000002</v>
      </c>
      <c r="J100" s="65">
        <f t="shared" si="181"/>
        <v>58</v>
      </c>
      <c r="K100" s="65">
        <f t="shared" si="181"/>
        <v>72.2</v>
      </c>
      <c r="L100" s="65">
        <f t="shared" si="181"/>
        <v>77.5</v>
      </c>
      <c r="M100" s="65">
        <f t="shared" si="181"/>
        <v>85.4</v>
      </c>
      <c r="N100" s="65">
        <f t="shared" si="181"/>
        <v>105.5</v>
      </c>
      <c r="O100" s="65">
        <f t="shared" si="181"/>
        <v>113.4</v>
      </c>
      <c r="P100" s="65">
        <f t="shared" si="181"/>
        <v>158.19999999999999</v>
      </c>
      <c r="Q100" s="56">
        <f t="shared" si="104"/>
        <v>53</v>
      </c>
      <c r="R100" s="55">
        <f>RCFs!$C$7</f>
        <v>17.66</v>
      </c>
      <c r="S100" s="65">
        <f t="shared" si="131"/>
        <v>68.900000000000006</v>
      </c>
      <c r="T100" s="65">
        <f t="shared" si="131"/>
        <v>79.5</v>
      </c>
      <c r="U100" s="56">
        <f t="shared" si="162"/>
        <v>51.1</v>
      </c>
      <c r="V100" s="55">
        <f>RCFs!$C$9</f>
        <v>17.033999999999999</v>
      </c>
      <c r="W100" s="56">
        <f t="shared" si="165"/>
        <v>51.1</v>
      </c>
      <c r="X100" s="141">
        <f t="shared" si="107"/>
        <v>17.033999999999999</v>
      </c>
      <c r="Y100" s="65">
        <f t="shared" si="184"/>
        <v>56.2</v>
      </c>
      <c r="Z100" s="65">
        <f t="shared" si="184"/>
        <v>70</v>
      </c>
      <c r="AA100" s="65">
        <f t="shared" si="184"/>
        <v>82.8</v>
      </c>
      <c r="AB100" s="65">
        <f t="shared" si="184"/>
        <v>75.099999999999994</v>
      </c>
      <c r="AC100" s="65">
        <f t="shared" si="175"/>
        <v>110.9</v>
      </c>
      <c r="AD100" s="65">
        <f t="shared" si="173"/>
        <v>153.30000000000001</v>
      </c>
      <c r="AE100" s="56">
        <f t="shared" si="158"/>
        <v>49.4</v>
      </c>
      <c r="AF100" s="55">
        <f>RCFs!$C$13</f>
        <v>16.48</v>
      </c>
      <c r="AG100" s="61">
        <f t="shared" si="169"/>
        <v>81.5</v>
      </c>
      <c r="AH100" s="61">
        <f t="shared" si="169"/>
        <v>103.7</v>
      </c>
      <c r="AI100" s="61">
        <f t="shared" si="169"/>
        <v>148.19999999999999</v>
      </c>
      <c r="AJ100" s="56">
        <f t="shared" si="150"/>
        <v>50.6</v>
      </c>
      <c r="AK100" s="141">
        <f>RCFs!$C$23</f>
        <v>16.876666666666669</v>
      </c>
      <c r="AL100" s="56">
        <f t="shared" si="151"/>
        <v>69.8</v>
      </c>
      <c r="AM100" s="141">
        <f>RCFs!$C$27</f>
        <v>23.256666666666668</v>
      </c>
      <c r="AN100" s="142">
        <f t="shared" si="152"/>
        <v>55.5</v>
      </c>
      <c r="AO100" s="141">
        <f>RCFs!$C$33</f>
        <v>18.513999999999999</v>
      </c>
      <c r="AP100" s="61">
        <f t="shared" si="95"/>
        <v>83.2</v>
      </c>
      <c r="AQ100" s="142">
        <f t="shared" si="153"/>
        <v>51.9</v>
      </c>
      <c r="AR100" s="141">
        <f>RCFs!$C$35</f>
        <v>17.306666666666668</v>
      </c>
      <c r="AS100" s="61">
        <f t="shared" si="129"/>
        <v>67.400000000000006</v>
      </c>
      <c r="AT100" s="61">
        <f t="shared" si="129"/>
        <v>75.2</v>
      </c>
      <c r="AU100" s="142">
        <f t="shared" si="108"/>
        <v>53.5</v>
      </c>
      <c r="AV100" s="141">
        <f>RCFs!$C$37</f>
        <v>17.86</v>
      </c>
      <c r="AW100" s="142">
        <f t="shared" si="102"/>
        <v>54.2</v>
      </c>
      <c r="AX100" s="141">
        <f>RCFs!$C$64</f>
        <v>18.07</v>
      </c>
      <c r="AY100" s="142">
        <f t="shared" si="108"/>
        <v>54.9</v>
      </c>
      <c r="AZ100" s="141">
        <f>RCFs!$C$39</f>
        <v>18.323333333333334</v>
      </c>
      <c r="BA100" s="141">
        <f t="shared" ref="BA100" si="191">ROUNDDOWN(BB100*$C100,1)</f>
        <v>52.7</v>
      </c>
      <c r="BB100" s="141">
        <f>RCFs!$C$41</f>
        <v>17.579000000000001</v>
      </c>
      <c r="BC100" s="84"/>
      <c r="BD100" s="84"/>
      <c r="BE100" s="84"/>
      <c r="BF100" s="84"/>
      <c r="BG100" s="84"/>
      <c r="BH100" s="84"/>
      <c r="BI100" s="84"/>
      <c r="BJ100" s="84"/>
      <c r="BK100" s="84"/>
      <c r="BL100" s="84"/>
      <c r="BM100" s="85"/>
      <c r="BN100" s="85"/>
      <c r="BO100" s="85"/>
      <c r="BP100" s="85"/>
      <c r="BQ100" s="85"/>
      <c r="BR100" s="85"/>
      <c r="BS100" s="85"/>
      <c r="BT100" s="85"/>
      <c r="BU100" s="85"/>
      <c r="BV100" s="85"/>
    </row>
    <row r="101" spans="1:74" s="86" customFormat="1" x14ac:dyDescent="0.2">
      <c r="A101" s="83">
        <v>2712</v>
      </c>
      <c r="B101" s="63" t="s">
        <v>80</v>
      </c>
      <c r="C101" s="64">
        <v>24</v>
      </c>
      <c r="D101" s="56">
        <f t="shared" si="155"/>
        <v>1635.4</v>
      </c>
      <c r="E101" s="141">
        <f>RCFs!$C$43</f>
        <v>68.141894999999991</v>
      </c>
      <c r="F101" s="56">
        <f t="shared" si="99"/>
        <v>421.8</v>
      </c>
      <c r="G101" s="141">
        <f>RCFs!$C$5</f>
        <v>17.577000000000002</v>
      </c>
      <c r="H101" s="56">
        <f t="shared" si="161"/>
        <v>421.8</v>
      </c>
      <c r="I101" s="141">
        <f>RCFs!$C$5</f>
        <v>17.577000000000002</v>
      </c>
      <c r="J101" s="65">
        <f t="shared" si="181"/>
        <v>464</v>
      </c>
      <c r="K101" s="65">
        <f t="shared" si="181"/>
        <v>577.9</v>
      </c>
      <c r="L101" s="65">
        <f t="shared" si="181"/>
        <v>620.1</v>
      </c>
      <c r="M101" s="65">
        <f t="shared" si="181"/>
        <v>683.4</v>
      </c>
      <c r="N101" s="65">
        <f t="shared" si="181"/>
        <v>843.7</v>
      </c>
      <c r="O101" s="65">
        <f t="shared" si="181"/>
        <v>907</v>
      </c>
      <c r="P101" s="65">
        <f t="shared" si="181"/>
        <v>1265.5</v>
      </c>
      <c r="Q101" s="56">
        <f t="shared" si="104"/>
        <v>423.8</v>
      </c>
      <c r="R101" s="55">
        <f>RCFs!$C$7</f>
        <v>17.66</v>
      </c>
      <c r="S101" s="65">
        <f t="shared" si="131"/>
        <v>550.9</v>
      </c>
      <c r="T101" s="65">
        <f t="shared" si="131"/>
        <v>635.70000000000005</v>
      </c>
      <c r="U101" s="56">
        <f t="shared" si="162"/>
        <v>408.8</v>
      </c>
      <c r="V101" s="55">
        <f>RCFs!$C$9</f>
        <v>17.033999999999999</v>
      </c>
      <c r="W101" s="56">
        <f t="shared" si="165"/>
        <v>408.8</v>
      </c>
      <c r="X101" s="141">
        <f t="shared" si="107"/>
        <v>17.033999999999999</v>
      </c>
      <c r="Y101" s="65">
        <f t="shared" si="184"/>
        <v>449.7</v>
      </c>
      <c r="Z101" s="65">
        <f t="shared" si="184"/>
        <v>560.1</v>
      </c>
      <c r="AA101" s="65">
        <f t="shared" si="184"/>
        <v>662.3</v>
      </c>
      <c r="AB101" s="65">
        <f t="shared" si="184"/>
        <v>601</v>
      </c>
      <c r="AC101" s="65">
        <f t="shared" si="175"/>
        <v>887.1</v>
      </c>
      <c r="AD101" s="65">
        <f t="shared" si="173"/>
        <v>1226.4000000000001</v>
      </c>
      <c r="AE101" s="56">
        <f t="shared" si="158"/>
        <v>395.5</v>
      </c>
      <c r="AF101" s="55">
        <f>RCFs!$C$13</f>
        <v>16.48</v>
      </c>
      <c r="AG101" s="61">
        <f t="shared" si="169"/>
        <v>652.6</v>
      </c>
      <c r="AH101" s="61">
        <f t="shared" si="169"/>
        <v>830.6</v>
      </c>
      <c r="AI101" s="61">
        <f t="shared" si="169"/>
        <v>1186.5</v>
      </c>
      <c r="AJ101" s="56">
        <f t="shared" si="150"/>
        <v>405</v>
      </c>
      <c r="AK101" s="141">
        <f>RCFs!$C$23</f>
        <v>16.876666666666669</v>
      </c>
      <c r="AL101" s="56">
        <f t="shared" si="151"/>
        <v>558.20000000000005</v>
      </c>
      <c r="AM101" s="141">
        <f>RCFs!$C$27</f>
        <v>23.256666666666668</v>
      </c>
      <c r="AN101" s="142">
        <f t="shared" si="152"/>
        <v>444.3</v>
      </c>
      <c r="AO101" s="141">
        <f>RCFs!$C$33</f>
        <v>18.513999999999999</v>
      </c>
      <c r="AP101" s="61">
        <f t="shared" si="95"/>
        <v>666.4</v>
      </c>
      <c r="AQ101" s="142">
        <f t="shared" si="153"/>
        <v>415.3</v>
      </c>
      <c r="AR101" s="141">
        <f>RCFs!$C$35</f>
        <v>17.306666666666668</v>
      </c>
      <c r="AS101" s="61">
        <f t="shared" si="129"/>
        <v>539.79999999999995</v>
      </c>
      <c r="AT101" s="61">
        <f t="shared" si="129"/>
        <v>602.1</v>
      </c>
      <c r="AU101" s="142">
        <f t="shared" si="108"/>
        <v>428.6</v>
      </c>
      <c r="AV101" s="141">
        <f>RCFs!$C$37</f>
        <v>17.86</v>
      </c>
      <c r="AW101" s="142">
        <f t="shared" si="102"/>
        <v>433.6</v>
      </c>
      <c r="AX101" s="141">
        <f>RCFs!$C$64</f>
        <v>18.07</v>
      </c>
      <c r="AY101" s="142">
        <f t="shared" si="108"/>
        <v>439.7</v>
      </c>
      <c r="AZ101" s="141">
        <f>RCFs!$C$39</f>
        <v>18.323333333333334</v>
      </c>
      <c r="BA101" s="141">
        <f t="shared" ref="BA101" si="192">ROUNDDOWN(BB101*$C101,1)</f>
        <v>421.8</v>
      </c>
      <c r="BB101" s="141">
        <f>RCFs!$C$41</f>
        <v>17.579000000000001</v>
      </c>
      <c r="BC101" s="84"/>
      <c r="BD101" s="84"/>
      <c r="BE101" s="84"/>
      <c r="BF101" s="84"/>
      <c r="BG101" s="84"/>
      <c r="BH101" s="84"/>
      <c r="BI101" s="84"/>
      <c r="BJ101" s="84"/>
      <c r="BK101" s="84"/>
      <c r="BL101" s="84"/>
      <c r="BM101" s="85"/>
      <c r="BN101" s="85"/>
      <c r="BO101" s="85"/>
      <c r="BP101" s="85"/>
      <c r="BQ101" s="85"/>
      <c r="BR101" s="85"/>
      <c r="BS101" s="85"/>
      <c r="BT101" s="85"/>
      <c r="BU101" s="85"/>
      <c r="BV101" s="85"/>
    </row>
    <row r="102" spans="1:74" s="86" customFormat="1" x14ac:dyDescent="0.2">
      <c r="A102" s="83">
        <v>2713</v>
      </c>
      <c r="B102" s="63" t="s">
        <v>81</v>
      </c>
      <c r="C102" s="64">
        <v>18.399999999999999</v>
      </c>
      <c r="D102" s="56">
        <f t="shared" si="155"/>
        <v>1253.8</v>
      </c>
      <c r="E102" s="141">
        <f>RCFs!$C$43</f>
        <v>68.141894999999991</v>
      </c>
      <c r="F102" s="56">
        <f t="shared" si="99"/>
        <v>323.39999999999998</v>
      </c>
      <c r="G102" s="141">
        <f>RCFs!$C$5</f>
        <v>17.577000000000002</v>
      </c>
      <c r="H102" s="56">
        <f t="shared" si="161"/>
        <v>323.39999999999998</v>
      </c>
      <c r="I102" s="141">
        <f>RCFs!$C$5</f>
        <v>17.577000000000002</v>
      </c>
      <c r="J102" s="65">
        <f t="shared" ref="J102:P112" si="193">ROUND($C102*$I102*J$6,1)</f>
        <v>355.8</v>
      </c>
      <c r="K102" s="65">
        <f t="shared" si="193"/>
        <v>443.1</v>
      </c>
      <c r="L102" s="65">
        <f t="shared" si="193"/>
        <v>475.4</v>
      </c>
      <c r="M102" s="65">
        <f t="shared" si="193"/>
        <v>523.9</v>
      </c>
      <c r="N102" s="65">
        <f t="shared" si="193"/>
        <v>646.79999999999995</v>
      </c>
      <c r="O102" s="65">
        <f t="shared" si="193"/>
        <v>695.3</v>
      </c>
      <c r="P102" s="65">
        <f t="shared" si="193"/>
        <v>970.3</v>
      </c>
      <c r="Q102" s="56">
        <f t="shared" si="104"/>
        <v>324.89999999999998</v>
      </c>
      <c r="R102" s="55">
        <f>RCFs!$C$7</f>
        <v>17.66</v>
      </c>
      <c r="S102" s="65">
        <f t="shared" si="131"/>
        <v>422.3</v>
      </c>
      <c r="T102" s="65">
        <f t="shared" si="131"/>
        <v>487.3</v>
      </c>
      <c r="U102" s="56">
        <f t="shared" si="162"/>
        <v>313.39999999999998</v>
      </c>
      <c r="V102" s="55">
        <f>RCFs!$C$9</f>
        <v>17.033999999999999</v>
      </c>
      <c r="W102" s="56">
        <f t="shared" si="165"/>
        <v>313.39999999999998</v>
      </c>
      <c r="X102" s="141">
        <f t="shared" si="107"/>
        <v>17.033999999999999</v>
      </c>
      <c r="Y102" s="65">
        <f t="shared" si="184"/>
        <v>344.8</v>
      </c>
      <c r="Z102" s="65">
        <f t="shared" si="184"/>
        <v>429.4</v>
      </c>
      <c r="AA102" s="65">
        <f t="shared" si="184"/>
        <v>507.7</v>
      </c>
      <c r="AB102" s="65">
        <f t="shared" si="184"/>
        <v>460.7</v>
      </c>
      <c r="AC102" s="65">
        <f t="shared" si="175"/>
        <v>680.1</v>
      </c>
      <c r="AD102" s="65">
        <f t="shared" si="173"/>
        <v>940.3</v>
      </c>
      <c r="AE102" s="56">
        <f t="shared" si="158"/>
        <v>303.2</v>
      </c>
      <c r="AF102" s="55">
        <f>RCFs!$C$13</f>
        <v>16.48</v>
      </c>
      <c r="AG102" s="61">
        <f t="shared" si="169"/>
        <v>500.3</v>
      </c>
      <c r="AH102" s="61">
        <f t="shared" si="169"/>
        <v>636.70000000000005</v>
      </c>
      <c r="AI102" s="61">
        <f t="shared" si="169"/>
        <v>909.6</v>
      </c>
      <c r="AJ102" s="56">
        <f t="shared" si="150"/>
        <v>310.5</v>
      </c>
      <c r="AK102" s="141">
        <f>RCFs!$C$23</f>
        <v>16.876666666666669</v>
      </c>
      <c r="AL102" s="56">
        <f t="shared" si="151"/>
        <v>427.9</v>
      </c>
      <c r="AM102" s="141">
        <f>RCFs!$C$27</f>
        <v>23.256666666666668</v>
      </c>
      <c r="AN102" s="142">
        <f t="shared" si="152"/>
        <v>340.6</v>
      </c>
      <c r="AO102" s="141">
        <f>RCFs!$C$33</f>
        <v>18.513999999999999</v>
      </c>
      <c r="AP102" s="61">
        <f t="shared" si="95"/>
        <v>510.9</v>
      </c>
      <c r="AQ102" s="142">
        <f t="shared" si="153"/>
        <v>318.39999999999998</v>
      </c>
      <c r="AR102" s="141">
        <f>RCFs!$C$35</f>
        <v>17.306666666666668</v>
      </c>
      <c r="AS102" s="61">
        <f t="shared" si="129"/>
        <v>413.9</v>
      </c>
      <c r="AT102" s="61">
        <f t="shared" si="129"/>
        <v>461.6</v>
      </c>
      <c r="AU102" s="142">
        <f t="shared" si="108"/>
        <v>328.6</v>
      </c>
      <c r="AV102" s="141">
        <f>RCFs!$C$37</f>
        <v>17.86</v>
      </c>
      <c r="AW102" s="142">
        <f t="shared" si="102"/>
        <v>332.4</v>
      </c>
      <c r="AX102" s="141">
        <f>RCFs!$C$64</f>
        <v>18.07</v>
      </c>
      <c r="AY102" s="142">
        <f t="shared" si="108"/>
        <v>337.1</v>
      </c>
      <c r="AZ102" s="141">
        <f>RCFs!$C$39</f>
        <v>18.323333333333334</v>
      </c>
      <c r="BA102" s="141">
        <f t="shared" ref="BA102" si="194">ROUNDDOWN(BB102*$C102,1)</f>
        <v>323.39999999999998</v>
      </c>
      <c r="BB102" s="141">
        <f>RCFs!$C$41</f>
        <v>17.579000000000001</v>
      </c>
      <c r="BC102" s="84"/>
      <c r="BD102" s="84"/>
      <c r="BE102" s="84"/>
      <c r="BF102" s="84"/>
      <c r="BG102" s="84"/>
      <c r="BH102" s="84"/>
      <c r="BI102" s="84"/>
      <c r="BJ102" s="84"/>
      <c r="BK102" s="84"/>
      <c r="BL102" s="84"/>
      <c r="BM102" s="85"/>
      <c r="BN102" s="85"/>
      <c r="BO102" s="85"/>
      <c r="BP102" s="85"/>
      <c r="BQ102" s="85"/>
      <c r="BR102" s="85"/>
      <c r="BS102" s="85"/>
      <c r="BT102" s="85"/>
      <c r="BU102" s="85"/>
      <c r="BV102" s="85"/>
    </row>
    <row r="103" spans="1:74" s="86" customFormat="1" x14ac:dyDescent="0.2">
      <c r="A103" s="83">
        <v>3273</v>
      </c>
      <c r="B103" s="63" t="s">
        <v>82</v>
      </c>
      <c r="C103" s="64">
        <v>6.5</v>
      </c>
      <c r="D103" s="56">
        <f t="shared" si="155"/>
        <v>442.9</v>
      </c>
      <c r="E103" s="141">
        <f>RCFs!$C$43</f>
        <v>68.141894999999991</v>
      </c>
      <c r="F103" s="56">
        <f t="shared" si="99"/>
        <v>114.3</v>
      </c>
      <c r="G103" s="141">
        <f>RCFs!$C$5</f>
        <v>17.577000000000002</v>
      </c>
      <c r="H103" s="56">
        <f t="shared" si="161"/>
        <v>114.3</v>
      </c>
      <c r="I103" s="141">
        <f>RCFs!$C$5</f>
        <v>17.577000000000002</v>
      </c>
      <c r="J103" s="65">
        <f t="shared" si="193"/>
        <v>125.7</v>
      </c>
      <c r="K103" s="65">
        <f t="shared" si="193"/>
        <v>156.5</v>
      </c>
      <c r="L103" s="65">
        <f t="shared" si="193"/>
        <v>167.9</v>
      </c>
      <c r="M103" s="65">
        <f t="shared" si="193"/>
        <v>185.1</v>
      </c>
      <c r="N103" s="65">
        <f t="shared" si="193"/>
        <v>228.5</v>
      </c>
      <c r="O103" s="65">
        <f t="shared" si="193"/>
        <v>245.6</v>
      </c>
      <c r="P103" s="65">
        <f t="shared" si="193"/>
        <v>342.8</v>
      </c>
      <c r="Q103" s="56">
        <f t="shared" si="104"/>
        <v>114.8</v>
      </c>
      <c r="R103" s="55">
        <f>RCFs!$C$7</f>
        <v>17.66</v>
      </c>
      <c r="S103" s="65">
        <f t="shared" si="131"/>
        <v>149.19999999999999</v>
      </c>
      <c r="T103" s="65">
        <f t="shared" si="131"/>
        <v>172.2</v>
      </c>
      <c r="U103" s="56">
        <f t="shared" si="162"/>
        <v>110.7</v>
      </c>
      <c r="V103" s="55">
        <f>RCFs!$C$9</f>
        <v>17.033999999999999</v>
      </c>
      <c r="W103" s="56">
        <f t="shared" si="165"/>
        <v>110.7</v>
      </c>
      <c r="X103" s="141">
        <f t="shared" si="107"/>
        <v>17.033999999999999</v>
      </c>
      <c r="Y103" s="65">
        <f t="shared" si="184"/>
        <v>121.8</v>
      </c>
      <c r="Z103" s="65">
        <f t="shared" si="184"/>
        <v>151.69999999999999</v>
      </c>
      <c r="AA103" s="65">
        <f t="shared" si="184"/>
        <v>179.4</v>
      </c>
      <c r="AB103" s="65">
        <f t="shared" si="184"/>
        <v>162.80000000000001</v>
      </c>
      <c r="AC103" s="65">
        <f t="shared" si="175"/>
        <v>240.3</v>
      </c>
      <c r="AD103" s="65">
        <f t="shared" si="173"/>
        <v>332.2</v>
      </c>
      <c r="AE103" s="56">
        <f t="shared" si="158"/>
        <v>107.1</v>
      </c>
      <c r="AF103" s="55">
        <f>RCFs!$C$13</f>
        <v>16.48</v>
      </c>
      <c r="AG103" s="61">
        <f t="shared" ref="AG103:AI112" si="195">ROUND($AE103*AG$6,1)</f>
        <v>176.7</v>
      </c>
      <c r="AH103" s="61">
        <f t="shared" si="195"/>
        <v>224.9</v>
      </c>
      <c r="AI103" s="61">
        <f t="shared" si="195"/>
        <v>321.3</v>
      </c>
      <c r="AJ103" s="56">
        <f t="shared" si="150"/>
        <v>109.6</v>
      </c>
      <c r="AK103" s="141">
        <f>RCFs!$C$23</f>
        <v>16.876666666666669</v>
      </c>
      <c r="AL103" s="56">
        <f t="shared" si="151"/>
        <v>151.19999999999999</v>
      </c>
      <c r="AM103" s="141">
        <f>RCFs!$C$27</f>
        <v>23.256666666666668</v>
      </c>
      <c r="AN103" s="142">
        <f t="shared" si="152"/>
        <v>120.3</v>
      </c>
      <c r="AO103" s="141">
        <f>RCFs!$C$33</f>
        <v>18.513999999999999</v>
      </c>
      <c r="AP103" s="61">
        <f t="shared" si="95"/>
        <v>180.4</v>
      </c>
      <c r="AQ103" s="142">
        <f t="shared" si="153"/>
        <v>112.4</v>
      </c>
      <c r="AR103" s="141">
        <f>RCFs!$C$35</f>
        <v>17.306666666666668</v>
      </c>
      <c r="AS103" s="61">
        <f t="shared" si="129"/>
        <v>146.1</v>
      </c>
      <c r="AT103" s="61">
        <f t="shared" si="129"/>
        <v>162.9</v>
      </c>
      <c r="AU103" s="142">
        <f t="shared" si="108"/>
        <v>116</v>
      </c>
      <c r="AV103" s="141">
        <f>RCFs!$C$37</f>
        <v>17.86</v>
      </c>
      <c r="AW103" s="142">
        <f t="shared" si="102"/>
        <v>117.4</v>
      </c>
      <c r="AX103" s="141">
        <f>RCFs!$C$64</f>
        <v>18.07</v>
      </c>
      <c r="AY103" s="142">
        <f t="shared" si="108"/>
        <v>119.1</v>
      </c>
      <c r="AZ103" s="141">
        <f>RCFs!$C$39</f>
        <v>18.323333333333334</v>
      </c>
      <c r="BA103" s="141">
        <f t="shared" ref="BA103" si="196">ROUNDDOWN(BB103*$C103,1)</f>
        <v>114.2</v>
      </c>
      <c r="BB103" s="141">
        <f>RCFs!$C$41</f>
        <v>17.579000000000001</v>
      </c>
      <c r="BC103" s="84"/>
      <c r="BD103" s="84"/>
      <c r="BE103" s="84"/>
      <c r="BF103" s="84"/>
      <c r="BG103" s="84"/>
      <c r="BH103" s="84"/>
      <c r="BI103" s="84"/>
      <c r="BJ103" s="84"/>
      <c r="BK103" s="84"/>
      <c r="BL103" s="84"/>
      <c r="BM103" s="85"/>
      <c r="BN103" s="85"/>
      <c r="BO103" s="85"/>
      <c r="BP103" s="85"/>
      <c r="BQ103" s="85"/>
      <c r="BR103" s="85"/>
      <c r="BS103" s="85"/>
      <c r="BT103" s="85"/>
      <c r="BU103" s="85"/>
      <c r="BV103" s="85"/>
    </row>
    <row r="104" spans="1:74" s="86" customFormat="1" x14ac:dyDescent="0.2">
      <c r="A104" s="83">
        <v>3275</v>
      </c>
      <c r="B104" s="63" t="s">
        <v>83</v>
      </c>
      <c r="C104" s="64">
        <v>6.5</v>
      </c>
      <c r="D104" s="56">
        <f t="shared" si="155"/>
        <v>442.9</v>
      </c>
      <c r="E104" s="141">
        <f>RCFs!$C$43</f>
        <v>68.141894999999991</v>
      </c>
      <c r="F104" s="56">
        <f t="shared" si="99"/>
        <v>114.3</v>
      </c>
      <c r="G104" s="141">
        <f>RCFs!$C$5</f>
        <v>17.577000000000002</v>
      </c>
      <c r="H104" s="56">
        <f t="shared" si="161"/>
        <v>114.3</v>
      </c>
      <c r="I104" s="141">
        <f>RCFs!$C$5</f>
        <v>17.577000000000002</v>
      </c>
      <c r="J104" s="65">
        <f t="shared" si="193"/>
        <v>125.7</v>
      </c>
      <c r="K104" s="65">
        <f t="shared" si="193"/>
        <v>156.5</v>
      </c>
      <c r="L104" s="65">
        <f t="shared" si="193"/>
        <v>167.9</v>
      </c>
      <c r="M104" s="65">
        <f t="shared" si="193"/>
        <v>185.1</v>
      </c>
      <c r="N104" s="65">
        <f t="shared" si="193"/>
        <v>228.5</v>
      </c>
      <c r="O104" s="65">
        <f t="shared" si="193"/>
        <v>245.6</v>
      </c>
      <c r="P104" s="65">
        <f t="shared" si="193"/>
        <v>342.8</v>
      </c>
      <c r="Q104" s="56">
        <f t="shared" si="104"/>
        <v>114.8</v>
      </c>
      <c r="R104" s="55">
        <f>RCFs!$C$7</f>
        <v>17.66</v>
      </c>
      <c r="S104" s="65">
        <f t="shared" si="131"/>
        <v>149.19999999999999</v>
      </c>
      <c r="T104" s="65">
        <f t="shared" si="131"/>
        <v>172.2</v>
      </c>
      <c r="U104" s="56">
        <f t="shared" si="162"/>
        <v>110.7</v>
      </c>
      <c r="V104" s="55">
        <f>RCFs!$C$9</f>
        <v>17.033999999999999</v>
      </c>
      <c r="W104" s="56">
        <f t="shared" si="165"/>
        <v>110.7</v>
      </c>
      <c r="X104" s="141">
        <f t="shared" si="107"/>
        <v>17.033999999999999</v>
      </c>
      <c r="Y104" s="65">
        <f t="shared" si="184"/>
        <v>121.8</v>
      </c>
      <c r="Z104" s="65">
        <f t="shared" si="184"/>
        <v>151.69999999999999</v>
      </c>
      <c r="AA104" s="65">
        <f t="shared" si="184"/>
        <v>179.4</v>
      </c>
      <c r="AB104" s="65">
        <f t="shared" si="184"/>
        <v>162.80000000000001</v>
      </c>
      <c r="AC104" s="65">
        <f t="shared" si="175"/>
        <v>240.3</v>
      </c>
      <c r="AD104" s="65">
        <f t="shared" si="173"/>
        <v>332.2</v>
      </c>
      <c r="AE104" s="56">
        <f t="shared" si="158"/>
        <v>107.1</v>
      </c>
      <c r="AF104" s="55">
        <f>RCFs!$C$13</f>
        <v>16.48</v>
      </c>
      <c r="AG104" s="61">
        <f t="shared" si="195"/>
        <v>176.7</v>
      </c>
      <c r="AH104" s="61">
        <f t="shared" si="195"/>
        <v>224.9</v>
      </c>
      <c r="AI104" s="61">
        <f t="shared" si="195"/>
        <v>321.3</v>
      </c>
      <c r="AJ104" s="56">
        <f t="shared" si="150"/>
        <v>109.6</v>
      </c>
      <c r="AK104" s="141">
        <f>RCFs!$C$23</f>
        <v>16.876666666666669</v>
      </c>
      <c r="AL104" s="56">
        <f t="shared" si="151"/>
        <v>151.19999999999999</v>
      </c>
      <c r="AM104" s="141">
        <f>RCFs!$C$27</f>
        <v>23.256666666666668</v>
      </c>
      <c r="AN104" s="142">
        <f t="shared" si="152"/>
        <v>120.3</v>
      </c>
      <c r="AO104" s="141">
        <f>RCFs!$C$33</f>
        <v>18.513999999999999</v>
      </c>
      <c r="AP104" s="61">
        <f t="shared" si="95"/>
        <v>180.4</v>
      </c>
      <c r="AQ104" s="142">
        <f t="shared" si="153"/>
        <v>112.4</v>
      </c>
      <c r="AR104" s="141">
        <f>RCFs!$C$35</f>
        <v>17.306666666666668</v>
      </c>
      <c r="AS104" s="61">
        <f t="shared" si="129"/>
        <v>146.1</v>
      </c>
      <c r="AT104" s="61">
        <f t="shared" si="129"/>
        <v>162.9</v>
      </c>
      <c r="AU104" s="142">
        <f t="shared" si="108"/>
        <v>116</v>
      </c>
      <c r="AV104" s="141">
        <f>RCFs!$C$37</f>
        <v>17.86</v>
      </c>
      <c r="AW104" s="142">
        <f t="shared" si="102"/>
        <v>117.4</v>
      </c>
      <c r="AX104" s="141">
        <f>RCFs!$C$64</f>
        <v>18.07</v>
      </c>
      <c r="AY104" s="142">
        <f t="shared" si="108"/>
        <v>119.1</v>
      </c>
      <c r="AZ104" s="141">
        <f>RCFs!$C$39</f>
        <v>18.323333333333334</v>
      </c>
      <c r="BA104" s="141">
        <f t="shared" ref="BA104" si="197">ROUNDDOWN(BB104*$C104,1)</f>
        <v>114.2</v>
      </c>
      <c r="BB104" s="141">
        <f>RCFs!$C$41</f>
        <v>17.579000000000001</v>
      </c>
      <c r="BC104" s="84"/>
      <c r="BD104" s="84"/>
      <c r="BE104" s="84"/>
      <c r="BF104" s="84"/>
      <c r="BG104" s="84"/>
      <c r="BH104" s="84"/>
      <c r="BI104" s="84"/>
      <c r="BJ104" s="84"/>
      <c r="BK104" s="84"/>
      <c r="BL104" s="84"/>
      <c r="BM104" s="85"/>
      <c r="BN104" s="85"/>
      <c r="BO104" s="85"/>
      <c r="BP104" s="85"/>
      <c r="BQ104" s="85"/>
      <c r="BR104" s="85"/>
      <c r="BS104" s="85"/>
      <c r="BT104" s="85"/>
      <c r="BU104" s="85"/>
      <c r="BV104" s="85"/>
    </row>
    <row r="105" spans="1:74" s="86" customFormat="1" x14ac:dyDescent="0.2">
      <c r="A105" s="89">
        <v>3628</v>
      </c>
      <c r="B105" s="90" t="s">
        <v>86</v>
      </c>
      <c r="C105" s="91">
        <v>50</v>
      </c>
      <c r="D105" s="56">
        <f t="shared" si="155"/>
        <v>3407.1</v>
      </c>
      <c r="E105" s="141">
        <f>RCFs!$C$43</f>
        <v>68.141894999999991</v>
      </c>
      <c r="F105" s="56">
        <f t="shared" si="99"/>
        <v>878.9</v>
      </c>
      <c r="G105" s="141">
        <f>RCFs!$C$5</f>
        <v>17.577000000000002</v>
      </c>
      <c r="H105" s="56">
        <f t="shared" si="161"/>
        <v>878.9</v>
      </c>
      <c r="I105" s="141">
        <f>RCFs!$C$5</f>
        <v>17.577000000000002</v>
      </c>
      <c r="J105" s="65">
        <f t="shared" si="193"/>
        <v>966.7</v>
      </c>
      <c r="K105" s="65">
        <f t="shared" si="193"/>
        <v>1204</v>
      </c>
      <c r="L105" s="65">
        <f t="shared" si="193"/>
        <v>1291.9000000000001</v>
      </c>
      <c r="M105" s="65">
        <f t="shared" si="193"/>
        <v>1423.7</v>
      </c>
      <c r="N105" s="65">
        <f t="shared" si="193"/>
        <v>1757.7</v>
      </c>
      <c r="O105" s="65">
        <f t="shared" si="193"/>
        <v>1889.5</v>
      </c>
      <c r="P105" s="65">
        <f t="shared" si="193"/>
        <v>2636.6</v>
      </c>
      <c r="Q105" s="56">
        <f t="shared" si="104"/>
        <v>883</v>
      </c>
      <c r="R105" s="55">
        <f>RCFs!$C$7</f>
        <v>17.66</v>
      </c>
      <c r="S105" s="65">
        <f t="shared" si="131"/>
        <v>1147.9000000000001</v>
      </c>
      <c r="T105" s="65">
        <f t="shared" si="131"/>
        <v>1324.5</v>
      </c>
      <c r="U105" s="56">
        <f t="shared" si="162"/>
        <v>851.7</v>
      </c>
      <c r="V105" s="55">
        <f>RCFs!$C$9</f>
        <v>17.033999999999999</v>
      </c>
      <c r="W105" s="56">
        <f t="shared" si="165"/>
        <v>851.7</v>
      </c>
      <c r="X105" s="141">
        <f t="shared" si="107"/>
        <v>17.033999999999999</v>
      </c>
      <c r="Y105" s="65">
        <f t="shared" si="184"/>
        <v>936.9</v>
      </c>
      <c r="Z105" s="65">
        <f t="shared" si="184"/>
        <v>1166.8</v>
      </c>
      <c r="AA105" s="65">
        <f t="shared" si="184"/>
        <v>1379.8</v>
      </c>
      <c r="AB105" s="65">
        <f t="shared" si="184"/>
        <v>1252</v>
      </c>
      <c r="AC105" s="65">
        <f t="shared" si="175"/>
        <v>1848.2</v>
      </c>
      <c r="AD105" s="65">
        <f t="shared" si="173"/>
        <v>2555.1</v>
      </c>
      <c r="AE105" s="56">
        <f t="shared" si="158"/>
        <v>824</v>
      </c>
      <c r="AF105" s="55">
        <f>RCFs!$C$13</f>
        <v>16.48</v>
      </c>
      <c r="AG105" s="61">
        <f t="shared" si="195"/>
        <v>1359.6</v>
      </c>
      <c r="AH105" s="61">
        <f t="shared" si="195"/>
        <v>1730.4</v>
      </c>
      <c r="AI105" s="61">
        <f t="shared" si="195"/>
        <v>2472</v>
      </c>
      <c r="AJ105" s="56">
        <f t="shared" si="150"/>
        <v>843.8</v>
      </c>
      <c r="AK105" s="141">
        <f>RCFs!$C$23</f>
        <v>16.876666666666669</v>
      </c>
      <c r="AL105" s="56">
        <f t="shared" si="151"/>
        <v>1162.8</v>
      </c>
      <c r="AM105" s="141">
        <f>RCFs!$C$27</f>
        <v>23.256666666666668</v>
      </c>
      <c r="AN105" s="142">
        <f t="shared" si="152"/>
        <v>925.7</v>
      </c>
      <c r="AO105" s="141">
        <f>RCFs!$C$33</f>
        <v>18.513999999999999</v>
      </c>
      <c r="AP105" s="61">
        <f t="shared" si="95"/>
        <v>1388.5</v>
      </c>
      <c r="AQ105" s="142">
        <f t="shared" si="153"/>
        <v>865.3</v>
      </c>
      <c r="AR105" s="141">
        <f>RCFs!$C$35</f>
        <v>17.306666666666668</v>
      </c>
      <c r="AS105" s="61">
        <f t="shared" si="129"/>
        <v>1124.8</v>
      </c>
      <c r="AT105" s="61">
        <f t="shared" si="129"/>
        <v>1254.5999999999999</v>
      </c>
      <c r="AU105" s="142">
        <f t="shared" si="108"/>
        <v>893</v>
      </c>
      <c r="AV105" s="141">
        <f>RCFs!$C$37</f>
        <v>17.86</v>
      </c>
      <c r="AW105" s="142">
        <f t="shared" si="102"/>
        <v>903.5</v>
      </c>
      <c r="AX105" s="141">
        <f>RCFs!$C$64</f>
        <v>18.07</v>
      </c>
      <c r="AY105" s="142">
        <f t="shared" si="108"/>
        <v>916.1</v>
      </c>
      <c r="AZ105" s="141">
        <f>RCFs!$C$39</f>
        <v>18.323333333333334</v>
      </c>
      <c r="BA105" s="141">
        <f t="shared" ref="BA105" si="198">ROUNDDOWN(BB105*$C105,1)</f>
        <v>878.9</v>
      </c>
      <c r="BB105" s="141">
        <f>RCFs!$C$41</f>
        <v>17.579000000000001</v>
      </c>
      <c r="BC105" s="84"/>
      <c r="BD105" s="84"/>
      <c r="BE105" s="84"/>
      <c r="BF105" s="84"/>
      <c r="BG105" s="84"/>
      <c r="BH105" s="84"/>
      <c r="BI105" s="84"/>
      <c r="BJ105" s="84"/>
      <c r="BK105" s="84"/>
      <c r="BL105" s="84"/>
      <c r="BM105" s="85"/>
      <c r="BN105" s="85"/>
      <c r="BO105" s="85"/>
      <c r="BP105" s="85"/>
      <c r="BQ105" s="85"/>
      <c r="BR105" s="85"/>
      <c r="BS105" s="85"/>
      <c r="BT105" s="85"/>
      <c r="BU105" s="85"/>
      <c r="BV105" s="85"/>
    </row>
    <row r="106" spans="1:74" s="86" customFormat="1" x14ac:dyDescent="0.2">
      <c r="A106" s="89" t="s">
        <v>154</v>
      </c>
      <c r="B106" s="90" t="s">
        <v>87</v>
      </c>
      <c r="C106" s="91">
        <v>50</v>
      </c>
      <c r="D106" s="56">
        <f t="shared" si="155"/>
        <v>3407.1</v>
      </c>
      <c r="E106" s="141">
        <f>RCFs!$C$43</f>
        <v>68.141894999999991</v>
      </c>
      <c r="F106" s="56">
        <f t="shared" si="99"/>
        <v>878.9</v>
      </c>
      <c r="G106" s="141">
        <f>RCFs!$C$5</f>
        <v>17.577000000000002</v>
      </c>
      <c r="H106" s="56">
        <f t="shared" si="161"/>
        <v>878.9</v>
      </c>
      <c r="I106" s="141">
        <f>RCFs!$C$5</f>
        <v>17.577000000000002</v>
      </c>
      <c r="J106" s="65">
        <f t="shared" si="193"/>
        <v>966.7</v>
      </c>
      <c r="K106" s="65">
        <f t="shared" si="193"/>
        <v>1204</v>
      </c>
      <c r="L106" s="65">
        <f t="shared" si="193"/>
        <v>1291.9000000000001</v>
      </c>
      <c r="M106" s="65">
        <f t="shared" si="193"/>
        <v>1423.7</v>
      </c>
      <c r="N106" s="65">
        <f t="shared" si="193"/>
        <v>1757.7</v>
      </c>
      <c r="O106" s="65">
        <f t="shared" si="193"/>
        <v>1889.5</v>
      </c>
      <c r="P106" s="65">
        <f t="shared" si="193"/>
        <v>2636.6</v>
      </c>
      <c r="Q106" s="56">
        <f t="shared" si="104"/>
        <v>883</v>
      </c>
      <c r="R106" s="55">
        <f>RCFs!$C$7</f>
        <v>17.66</v>
      </c>
      <c r="S106" s="65">
        <f t="shared" si="131"/>
        <v>1147.9000000000001</v>
      </c>
      <c r="T106" s="65">
        <f t="shared" si="131"/>
        <v>1324.5</v>
      </c>
      <c r="U106" s="56">
        <f t="shared" si="162"/>
        <v>851.7</v>
      </c>
      <c r="V106" s="55">
        <f>RCFs!$C$9</f>
        <v>17.033999999999999</v>
      </c>
      <c r="W106" s="56">
        <f t="shared" si="165"/>
        <v>851.7</v>
      </c>
      <c r="X106" s="141">
        <f t="shared" si="107"/>
        <v>17.033999999999999</v>
      </c>
      <c r="Y106" s="65">
        <f t="shared" si="184"/>
        <v>936.9</v>
      </c>
      <c r="Z106" s="65">
        <f t="shared" si="184"/>
        <v>1166.8</v>
      </c>
      <c r="AA106" s="65">
        <f t="shared" si="184"/>
        <v>1379.8</v>
      </c>
      <c r="AB106" s="65">
        <f t="shared" si="184"/>
        <v>1252</v>
      </c>
      <c r="AC106" s="65">
        <f t="shared" si="175"/>
        <v>1848.2</v>
      </c>
      <c r="AD106" s="65">
        <f t="shared" si="173"/>
        <v>2555.1</v>
      </c>
      <c r="AE106" s="56">
        <f t="shared" si="158"/>
        <v>824</v>
      </c>
      <c r="AF106" s="55">
        <f>RCFs!$C$13</f>
        <v>16.48</v>
      </c>
      <c r="AG106" s="61">
        <f t="shared" si="195"/>
        <v>1359.6</v>
      </c>
      <c r="AH106" s="61">
        <f t="shared" si="195"/>
        <v>1730.4</v>
      </c>
      <c r="AI106" s="61">
        <f t="shared" si="195"/>
        <v>2472</v>
      </c>
      <c r="AJ106" s="56">
        <f t="shared" ref="AJ106:AJ112" si="199">ROUNDDOWN(AK106*C106,1)</f>
        <v>843.8</v>
      </c>
      <c r="AK106" s="141">
        <f>RCFs!$C$23</f>
        <v>16.876666666666669</v>
      </c>
      <c r="AL106" s="56">
        <f t="shared" ref="AL106:AL112" si="200">ROUND(AM106*C106,1)</f>
        <v>1162.8</v>
      </c>
      <c r="AM106" s="141">
        <f>RCFs!$C$27</f>
        <v>23.256666666666668</v>
      </c>
      <c r="AN106" s="142">
        <f t="shared" ref="AN106:AN112" si="201">ROUNDDOWN(AO106*C106,1)</f>
        <v>925.7</v>
      </c>
      <c r="AO106" s="141">
        <f>RCFs!$C$33</f>
        <v>18.513999999999999</v>
      </c>
      <c r="AP106" s="61">
        <f t="shared" si="95"/>
        <v>1388.5</v>
      </c>
      <c r="AQ106" s="142">
        <f t="shared" ref="AQ106:AQ112" si="202">ROUNDDOWN(AR106*C106,1)</f>
        <v>865.3</v>
      </c>
      <c r="AR106" s="141">
        <f>RCFs!$C$35</f>
        <v>17.306666666666668</v>
      </c>
      <c r="AS106" s="61">
        <f t="shared" si="129"/>
        <v>1124.8</v>
      </c>
      <c r="AT106" s="61">
        <f t="shared" si="129"/>
        <v>1254.5999999999999</v>
      </c>
      <c r="AU106" s="142">
        <f t="shared" si="108"/>
        <v>893</v>
      </c>
      <c r="AV106" s="141">
        <f>RCFs!$C$37</f>
        <v>17.86</v>
      </c>
      <c r="AW106" s="142">
        <f t="shared" si="102"/>
        <v>903.5</v>
      </c>
      <c r="AX106" s="141">
        <f>RCFs!$C$64</f>
        <v>18.07</v>
      </c>
      <c r="AY106" s="142">
        <f t="shared" si="108"/>
        <v>916.1</v>
      </c>
      <c r="AZ106" s="141">
        <f>RCFs!$C$39</f>
        <v>18.323333333333334</v>
      </c>
      <c r="BA106" s="141">
        <f t="shared" ref="BA106" si="203">ROUNDDOWN(BB106*$C106,1)</f>
        <v>878.9</v>
      </c>
      <c r="BB106" s="141">
        <f>RCFs!$C$41</f>
        <v>17.579000000000001</v>
      </c>
      <c r="BC106" s="84"/>
      <c r="BD106" s="84"/>
      <c r="BE106" s="84"/>
      <c r="BF106" s="84"/>
      <c r="BG106" s="84"/>
      <c r="BH106" s="84"/>
      <c r="BI106" s="84"/>
      <c r="BJ106" s="84"/>
      <c r="BK106" s="84"/>
      <c r="BL106" s="84"/>
      <c r="BM106" s="85"/>
      <c r="BN106" s="85"/>
      <c r="BO106" s="85"/>
      <c r="BP106" s="85"/>
      <c r="BQ106" s="85"/>
      <c r="BR106" s="85"/>
      <c r="BS106" s="85"/>
      <c r="BT106" s="85"/>
      <c r="BU106" s="85"/>
      <c r="BV106" s="85"/>
    </row>
    <row r="107" spans="1:74" s="86" customFormat="1" x14ac:dyDescent="0.2">
      <c r="A107" s="89" t="s">
        <v>155</v>
      </c>
      <c r="B107" s="90" t="s">
        <v>88</v>
      </c>
      <c r="C107" s="91">
        <v>8.4</v>
      </c>
      <c r="D107" s="56">
        <f t="shared" ref="D107:D112" si="204">ROUND(E107*C107,1)</f>
        <v>572.4</v>
      </c>
      <c r="E107" s="141">
        <f>RCFs!$C$43</f>
        <v>68.141894999999991</v>
      </c>
      <c r="F107" s="56">
        <f t="shared" ref="F107:F112" si="205">ROUND(G107*C107,1)</f>
        <v>147.6</v>
      </c>
      <c r="G107" s="141">
        <f>RCFs!$C$5</f>
        <v>17.577000000000002</v>
      </c>
      <c r="H107" s="56">
        <f t="shared" si="161"/>
        <v>147.6</v>
      </c>
      <c r="I107" s="141">
        <f>RCFs!$C$5</f>
        <v>17.577000000000002</v>
      </c>
      <c r="J107" s="65">
        <f t="shared" si="193"/>
        <v>162.4</v>
      </c>
      <c r="K107" s="65">
        <f t="shared" si="193"/>
        <v>202.3</v>
      </c>
      <c r="L107" s="65">
        <f t="shared" si="193"/>
        <v>217</v>
      </c>
      <c r="M107" s="65">
        <f t="shared" si="193"/>
        <v>239.2</v>
      </c>
      <c r="N107" s="65">
        <f t="shared" si="193"/>
        <v>295.3</v>
      </c>
      <c r="O107" s="65">
        <f t="shared" si="193"/>
        <v>317.39999999999998</v>
      </c>
      <c r="P107" s="65">
        <f t="shared" si="193"/>
        <v>442.9</v>
      </c>
      <c r="Q107" s="56">
        <f t="shared" si="104"/>
        <v>148.30000000000001</v>
      </c>
      <c r="R107" s="55">
        <f>RCFs!$C$7</f>
        <v>17.66</v>
      </c>
      <c r="S107" s="65">
        <f t="shared" si="131"/>
        <v>192.7</v>
      </c>
      <c r="T107" s="65">
        <f t="shared" si="131"/>
        <v>222.4</v>
      </c>
      <c r="U107" s="56">
        <f t="shared" si="162"/>
        <v>143</v>
      </c>
      <c r="V107" s="55">
        <f>RCFs!$C$9</f>
        <v>17.033999999999999</v>
      </c>
      <c r="W107" s="56">
        <f t="shared" si="165"/>
        <v>143.1</v>
      </c>
      <c r="X107" s="141">
        <f t="shared" si="107"/>
        <v>17.033999999999999</v>
      </c>
      <c r="Y107" s="65">
        <f t="shared" si="184"/>
        <v>157.4</v>
      </c>
      <c r="Z107" s="65">
        <f t="shared" si="184"/>
        <v>196</v>
      </c>
      <c r="AA107" s="65">
        <f t="shared" si="184"/>
        <v>231.8</v>
      </c>
      <c r="AB107" s="65">
        <f t="shared" si="184"/>
        <v>210.3</v>
      </c>
      <c r="AC107" s="65">
        <f t="shared" si="175"/>
        <v>310.5</v>
      </c>
      <c r="AD107" s="65">
        <f t="shared" si="173"/>
        <v>429.3</v>
      </c>
      <c r="AE107" s="56">
        <f t="shared" si="158"/>
        <v>138.4</v>
      </c>
      <c r="AF107" s="55">
        <f>RCFs!$C$13</f>
        <v>16.48</v>
      </c>
      <c r="AG107" s="61">
        <f t="shared" si="195"/>
        <v>228.4</v>
      </c>
      <c r="AH107" s="61">
        <f t="shared" si="195"/>
        <v>290.60000000000002</v>
      </c>
      <c r="AI107" s="61">
        <f t="shared" si="195"/>
        <v>415.2</v>
      </c>
      <c r="AJ107" s="56">
        <f t="shared" si="199"/>
        <v>141.69999999999999</v>
      </c>
      <c r="AK107" s="141">
        <f>RCFs!$C$23</f>
        <v>16.876666666666669</v>
      </c>
      <c r="AL107" s="56">
        <f t="shared" si="200"/>
        <v>195.4</v>
      </c>
      <c r="AM107" s="141">
        <f>RCFs!$C$27</f>
        <v>23.256666666666668</v>
      </c>
      <c r="AN107" s="142">
        <f t="shared" si="201"/>
        <v>155.5</v>
      </c>
      <c r="AO107" s="141">
        <f>RCFs!$C$33</f>
        <v>18.513999999999999</v>
      </c>
      <c r="AP107" s="61">
        <f t="shared" ref="AP107:AP112" si="206">ROUNDDOWN(AN107*$AP$6,1)</f>
        <v>233.2</v>
      </c>
      <c r="AQ107" s="142">
        <f t="shared" si="202"/>
        <v>145.30000000000001</v>
      </c>
      <c r="AR107" s="141">
        <f>RCFs!$C$35</f>
        <v>17.306666666666668</v>
      </c>
      <c r="AS107" s="61">
        <f t="shared" si="129"/>
        <v>188.8</v>
      </c>
      <c r="AT107" s="61">
        <f t="shared" si="129"/>
        <v>210.6</v>
      </c>
      <c r="AU107" s="142">
        <f t="shared" si="108"/>
        <v>150</v>
      </c>
      <c r="AV107" s="141">
        <f>RCFs!$C$37</f>
        <v>17.86</v>
      </c>
      <c r="AW107" s="142">
        <f t="shared" ref="AW107:AW112" si="207">ROUNDDOWN(AX107*C107,1)</f>
        <v>151.69999999999999</v>
      </c>
      <c r="AX107" s="141">
        <f>RCFs!$C$64</f>
        <v>18.07</v>
      </c>
      <c r="AY107" s="142">
        <f t="shared" si="108"/>
        <v>153.9</v>
      </c>
      <c r="AZ107" s="141">
        <f>RCFs!$C$39</f>
        <v>18.323333333333334</v>
      </c>
      <c r="BA107" s="141">
        <f t="shared" ref="BA107" si="208">ROUNDDOWN(BB107*$C107,1)</f>
        <v>147.6</v>
      </c>
      <c r="BB107" s="141">
        <f>RCFs!$C$41</f>
        <v>17.579000000000001</v>
      </c>
      <c r="BC107" s="84"/>
      <c r="BD107" s="84"/>
      <c r="BE107" s="84"/>
      <c r="BF107" s="84"/>
      <c r="BG107" s="84"/>
      <c r="BH107" s="84"/>
      <c r="BI107" s="84"/>
      <c r="BJ107" s="84"/>
      <c r="BK107" s="84"/>
      <c r="BL107" s="84"/>
      <c r="BM107" s="85"/>
      <c r="BN107" s="85"/>
      <c r="BO107" s="85"/>
      <c r="BP107" s="85"/>
      <c r="BQ107" s="85"/>
      <c r="BR107" s="85"/>
      <c r="BS107" s="85"/>
      <c r="BT107" s="85"/>
      <c r="BU107" s="85"/>
      <c r="BV107" s="85"/>
    </row>
    <row r="108" spans="1:74" s="86" customFormat="1" x14ac:dyDescent="0.2">
      <c r="A108" s="89" t="s">
        <v>156</v>
      </c>
      <c r="B108" s="90" t="s">
        <v>89</v>
      </c>
      <c r="C108" s="91">
        <v>32.6</v>
      </c>
      <c r="D108" s="56">
        <f t="shared" si="204"/>
        <v>2221.4</v>
      </c>
      <c r="E108" s="141">
        <f>RCFs!$C$43</f>
        <v>68.141894999999991</v>
      </c>
      <c r="F108" s="56">
        <f t="shared" si="205"/>
        <v>573</v>
      </c>
      <c r="G108" s="141">
        <f>RCFs!$C$5</f>
        <v>17.577000000000002</v>
      </c>
      <c r="H108" s="56">
        <f t="shared" si="161"/>
        <v>573</v>
      </c>
      <c r="I108" s="141">
        <f>RCFs!$C$5</f>
        <v>17.577000000000002</v>
      </c>
      <c r="J108" s="65">
        <f t="shared" si="193"/>
        <v>630.29999999999995</v>
      </c>
      <c r="K108" s="65">
        <f t="shared" si="193"/>
        <v>785</v>
      </c>
      <c r="L108" s="65">
        <f t="shared" si="193"/>
        <v>842.3</v>
      </c>
      <c r="M108" s="65">
        <f t="shared" si="193"/>
        <v>928.3</v>
      </c>
      <c r="N108" s="65">
        <f t="shared" si="193"/>
        <v>1146</v>
      </c>
      <c r="O108" s="65">
        <f t="shared" si="193"/>
        <v>1232</v>
      </c>
      <c r="P108" s="65">
        <f t="shared" si="193"/>
        <v>1719</v>
      </c>
      <c r="Q108" s="56">
        <f t="shared" ref="Q108:Q112" si="209">ROUND(R108*C108,1)</f>
        <v>575.70000000000005</v>
      </c>
      <c r="R108" s="55">
        <f>RCFs!$C$7</f>
        <v>17.66</v>
      </c>
      <c r="S108" s="65">
        <f t="shared" si="131"/>
        <v>748.4</v>
      </c>
      <c r="T108" s="65">
        <f t="shared" si="131"/>
        <v>863.5</v>
      </c>
      <c r="U108" s="56">
        <f t="shared" si="162"/>
        <v>555.29999999999995</v>
      </c>
      <c r="V108" s="55">
        <f>RCFs!$C$9</f>
        <v>17.033999999999999</v>
      </c>
      <c r="W108" s="56">
        <f t="shared" si="165"/>
        <v>555.29999999999995</v>
      </c>
      <c r="X108" s="141">
        <f t="shared" ref="X108:X112" si="210">V108</f>
        <v>17.033999999999999</v>
      </c>
      <c r="Y108" s="65">
        <f t="shared" si="184"/>
        <v>610.79999999999995</v>
      </c>
      <c r="Z108" s="65">
        <f t="shared" si="184"/>
        <v>760.8</v>
      </c>
      <c r="AA108" s="65">
        <f t="shared" si="184"/>
        <v>899.6</v>
      </c>
      <c r="AB108" s="65">
        <f t="shared" si="184"/>
        <v>816.3</v>
      </c>
      <c r="AC108" s="65">
        <f t="shared" si="175"/>
        <v>1205</v>
      </c>
      <c r="AD108" s="65">
        <f t="shared" si="173"/>
        <v>1665.9</v>
      </c>
      <c r="AE108" s="56">
        <f t="shared" si="158"/>
        <v>537.20000000000005</v>
      </c>
      <c r="AF108" s="55">
        <f>RCFs!$C$13</f>
        <v>16.48</v>
      </c>
      <c r="AG108" s="61">
        <f t="shared" si="195"/>
        <v>886.4</v>
      </c>
      <c r="AH108" s="61">
        <f t="shared" si="195"/>
        <v>1128.0999999999999</v>
      </c>
      <c r="AI108" s="61">
        <f t="shared" si="195"/>
        <v>1611.6</v>
      </c>
      <c r="AJ108" s="56">
        <f t="shared" si="199"/>
        <v>550.1</v>
      </c>
      <c r="AK108" s="141">
        <f>RCFs!$C$23</f>
        <v>16.876666666666669</v>
      </c>
      <c r="AL108" s="56">
        <f t="shared" si="200"/>
        <v>758.2</v>
      </c>
      <c r="AM108" s="141">
        <f>RCFs!$C$27</f>
        <v>23.256666666666668</v>
      </c>
      <c r="AN108" s="142">
        <f t="shared" si="201"/>
        <v>603.5</v>
      </c>
      <c r="AO108" s="141">
        <f>RCFs!$C$33</f>
        <v>18.513999999999999</v>
      </c>
      <c r="AP108" s="61">
        <f t="shared" si="206"/>
        <v>905.2</v>
      </c>
      <c r="AQ108" s="142">
        <f t="shared" si="202"/>
        <v>564.1</v>
      </c>
      <c r="AR108" s="141">
        <f>RCFs!$C$35</f>
        <v>17.306666666666668</v>
      </c>
      <c r="AS108" s="61">
        <f t="shared" si="129"/>
        <v>733.3</v>
      </c>
      <c r="AT108" s="61">
        <f t="shared" si="129"/>
        <v>817.9</v>
      </c>
      <c r="AU108" s="142">
        <f t="shared" ref="AU108:AY112" si="211">ROUNDDOWN(AV108*$C108,1)</f>
        <v>582.20000000000005</v>
      </c>
      <c r="AV108" s="141">
        <f>RCFs!$C$37</f>
        <v>17.86</v>
      </c>
      <c r="AW108" s="142">
        <f t="shared" si="207"/>
        <v>589</v>
      </c>
      <c r="AX108" s="141">
        <f>RCFs!$C$64</f>
        <v>18.07</v>
      </c>
      <c r="AY108" s="142">
        <f t="shared" si="211"/>
        <v>597.29999999999995</v>
      </c>
      <c r="AZ108" s="141">
        <f>RCFs!$C$39</f>
        <v>18.323333333333334</v>
      </c>
      <c r="BA108" s="141">
        <f t="shared" ref="BA108" si="212">ROUNDDOWN(BB108*$C108,1)</f>
        <v>573</v>
      </c>
      <c r="BB108" s="141">
        <f>RCFs!$C$41</f>
        <v>17.579000000000001</v>
      </c>
      <c r="BC108" s="84"/>
      <c r="BD108" s="84"/>
      <c r="BE108" s="84"/>
      <c r="BF108" s="84"/>
      <c r="BG108" s="84"/>
      <c r="BH108" s="84"/>
      <c r="BI108" s="84"/>
      <c r="BJ108" s="84"/>
      <c r="BK108" s="84"/>
      <c r="BL108" s="84"/>
      <c r="BM108" s="85"/>
      <c r="BN108" s="85"/>
      <c r="BO108" s="85"/>
      <c r="BP108" s="85"/>
      <c r="BQ108" s="85"/>
      <c r="BR108" s="85"/>
      <c r="BS108" s="85"/>
      <c r="BT108" s="85"/>
      <c r="BU108" s="85"/>
      <c r="BV108" s="85"/>
    </row>
    <row r="109" spans="1:74" s="86" customFormat="1" x14ac:dyDescent="0.2">
      <c r="A109" s="92" t="s">
        <v>127</v>
      </c>
      <c r="B109" s="90" t="s">
        <v>72</v>
      </c>
      <c r="C109" s="91">
        <v>9</v>
      </c>
      <c r="D109" s="93">
        <f t="shared" si="204"/>
        <v>158.19999999999999</v>
      </c>
      <c r="E109" s="94">
        <f>BB109</f>
        <v>17.579000000000001</v>
      </c>
      <c r="F109" s="56">
        <f t="shared" si="205"/>
        <v>158.19999999999999</v>
      </c>
      <c r="G109" s="141">
        <f>RCFs!$C$5</f>
        <v>17.577000000000002</v>
      </c>
      <c r="H109" s="56">
        <f t="shared" si="161"/>
        <v>158.19999999999999</v>
      </c>
      <c r="I109" s="141">
        <f>RCFs!$C$5</f>
        <v>17.577000000000002</v>
      </c>
      <c r="J109" s="65">
        <f t="shared" si="193"/>
        <v>174</v>
      </c>
      <c r="K109" s="65">
        <f t="shared" si="193"/>
        <v>216.7</v>
      </c>
      <c r="L109" s="65">
        <f t="shared" si="193"/>
        <v>232.5</v>
      </c>
      <c r="M109" s="65">
        <f t="shared" si="193"/>
        <v>256.3</v>
      </c>
      <c r="N109" s="65">
        <f t="shared" si="193"/>
        <v>316.39999999999998</v>
      </c>
      <c r="O109" s="65">
        <f t="shared" si="193"/>
        <v>340.1</v>
      </c>
      <c r="P109" s="65">
        <f t="shared" si="193"/>
        <v>474.6</v>
      </c>
      <c r="Q109" s="56">
        <f t="shared" si="209"/>
        <v>158.9</v>
      </c>
      <c r="R109" s="55">
        <f>RCFs!$C$7</f>
        <v>17.66</v>
      </c>
      <c r="S109" s="65">
        <f t="shared" si="131"/>
        <v>206.5</v>
      </c>
      <c r="T109" s="65">
        <f t="shared" si="131"/>
        <v>238.3</v>
      </c>
      <c r="U109" s="56">
        <f t="shared" si="162"/>
        <v>153.30000000000001</v>
      </c>
      <c r="V109" s="55">
        <f>RCFs!$C$9</f>
        <v>17.033999999999999</v>
      </c>
      <c r="W109" s="56">
        <f t="shared" si="165"/>
        <v>153.30000000000001</v>
      </c>
      <c r="X109" s="141">
        <f t="shared" si="210"/>
        <v>17.033999999999999</v>
      </c>
      <c r="Y109" s="65">
        <f t="shared" si="184"/>
        <v>168.6</v>
      </c>
      <c r="Z109" s="65">
        <f t="shared" si="184"/>
        <v>210</v>
      </c>
      <c r="AA109" s="65">
        <f t="shared" si="184"/>
        <v>248.4</v>
      </c>
      <c r="AB109" s="65">
        <f t="shared" si="184"/>
        <v>225.4</v>
      </c>
      <c r="AC109" s="65">
        <f t="shared" si="175"/>
        <v>332.7</v>
      </c>
      <c r="AD109" s="65">
        <f t="shared" si="173"/>
        <v>459.9</v>
      </c>
      <c r="AE109" s="56">
        <f t="shared" ref="AE109:AE112" si="213">ROUND(AF109*C109,1)</f>
        <v>148.30000000000001</v>
      </c>
      <c r="AF109" s="55">
        <f>RCFs!$C$13</f>
        <v>16.48</v>
      </c>
      <c r="AG109" s="61">
        <f t="shared" si="195"/>
        <v>244.7</v>
      </c>
      <c r="AH109" s="61">
        <f t="shared" si="195"/>
        <v>311.39999999999998</v>
      </c>
      <c r="AI109" s="61">
        <f t="shared" si="195"/>
        <v>444.9</v>
      </c>
      <c r="AJ109" s="56">
        <f t="shared" si="199"/>
        <v>151.80000000000001</v>
      </c>
      <c r="AK109" s="141">
        <f>RCFs!$C$23</f>
        <v>16.876666666666669</v>
      </c>
      <c r="AL109" s="56">
        <f t="shared" si="200"/>
        <v>209.3</v>
      </c>
      <c r="AM109" s="141">
        <f>RCFs!$C$27</f>
        <v>23.256666666666668</v>
      </c>
      <c r="AN109" s="142">
        <f t="shared" si="201"/>
        <v>166.6</v>
      </c>
      <c r="AO109" s="141">
        <f>RCFs!$C$33</f>
        <v>18.513999999999999</v>
      </c>
      <c r="AP109" s="61">
        <f t="shared" si="206"/>
        <v>249.9</v>
      </c>
      <c r="AQ109" s="142">
        <f t="shared" si="202"/>
        <v>155.69999999999999</v>
      </c>
      <c r="AR109" s="141">
        <f>RCFs!$C$35</f>
        <v>17.306666666666668</v>
      </c>
      <c r="AS109" s="61">
        <f t="shared" si="129"/>
        <v>202.4</v>
      </c>
      <c r="AT109" s="61">
        <f t="shared" si="129"/>
        <v>225.7</v>
      </c>
      <c r="AU109" s="142">
        <f t="shared" si="211"/>
        <v>160.69999999999999</v>
      </c>
      <c r="AV109" s="141">
        <f>RCFs!$C$37</f>
        <v>17.86</v>
      </c>
      <c r="AW109" s="142">
        <f t="shared" si="207"/>
        <v>162.6</v>
      </c>
      <c r="AX109" s="141">
        <f>RCFs!$C$64</f>
        <v>18.07</v>
      </c>
      <c r="AY109" s="142">
        <f t="shared" si="211"/>
        <v>164.9</v>
      </c>
      <c r="AZ109" s="141">
        <f>RCFs!$C$39</f>
        <v>18.323333333333334</v>
      </c>
      <c r="BA109" s="141">
        <f t="shared" ref="BA109" si="214">ROUNDDOWN(BB109*$C109,1)</f>
        <v>158.19999999999999</v>
      </c>
      <c r="BB109" s="141">
        <f>RCFs!$C$41</f>
        <v>17.579000000000001</v>
      </c>
      <c r="BC109" s="84"/>
      <c r="BD109" s="84"/>
      <c r="BE109" s="84"/>
      <c r="BF109" s="84"/>
      <c r="BG109" s="84"/>
      <c r="BH109" s="84"/>
      <c r="BI109" s="84"/>
      <c r="BJ109" s="84"/>
      <c r="BK109" s="84"/>
      <c r="BL109" s="84"/>
      <c r="BM109" s="85"/>
      <c r="BN109" s="85"/>
      <c r="BO109" s="85"/>
      <c r="BP109" s="85"/>
      <c r="BQ109" s="85"/>
      <c r="BR109" s="85"/>
      <c r="BS109" s="85"/>
      <c r="BT109" s="85"/>
      <c r="BU109" s="85"/>
      <c r="BV109" s="85"/>
    </row>
    <row r="110" spans="1:74" s="86" customFormat="1" x14ac:dyDescent="0.2">
      <c r="A110" s="92" t="s">
        <v>128</v>
      </c>
      <c r="B110" s="90" t="s">
        <v>73</v>
      </c>
      <c r="C110" s="91">
        <v>13</v>
      </c>
      <c r="D110" s="93">
        <f t="shared" si="204"/>
        <v>228.5</v>
      </c>
      <c r="E110" s="94">
        <f>BB110</f>
        <v>17.579000000000001</v>
      </c>
      <c r="F110" s="56">
        <f t="shared" si="205"/>
        <v>228.5</v>
      </c>
      <c r="G110" s="141">
        <f>RCFs!$C$5</f>
        <v>17.577000000000002</v>
      </c>
      <c r="H110" s="56">
        <f t="shared" si="161"/>
        <v>228.5</v>
      </c>
      <c r="I110" s="141">
        <f>RCFs!$C$5</f>
        <v>17.577000000000002</v>
      </c>
      <c r="J110" s="65">
        <f t="shared" si="193"/>
        <v>251.4</v>
      </c>
      <c r="K110" s="65">
        <f t="shared" si="193"/>
        <v>313</v>
      </c>
      <c r="L110" s="65">
        <f t="shared" si="193"/>
        <v>335.9</v>
      </c>
      <c r="M110" s="65">
        <f t="shared" si="193"/>
        <v>370.2</v>
      </c>
      <c r="N110" s="65">
        <f t="shared" si="193"/>
        <v>457</v>
      </c>
      <c r="O110" s="65">
        <f t="shared" si="193"/>
        <v>491.3</v>
      </c>
      <c r="P110" s="65">
        <f t="shared" si="193"/>
        <v>685.5</v>
      </c>
      <c r="Q110" s="56">
        <f t="shared" si="209"/>
        <v>229.6</v>
      </c>
      <c r="R110" s="55">
        <f>RCFs!$C$7</f>
        <v>17.66</v>
      </c>
      <c r="S110" s="65">
        <f t="shared" si="131"/>
        <v>298.39999999999998</v>
      </c>
      <c r="T110" s="65">
        <f t="shared" si="131"/>
        <v>344.4</v>
      </c>
      <c r="U110" s="56">
        <f t="shared" si="162"/>
        <v>221.4</v>
      </c>
      <c r="V110" s="55">
        <f>RCFs!$C$9</f>
        <v>17.033999999999999</v>
      </c>
      <c r="W110" s="56">
        <f t="shared" si="165"/>
        <v>221.4</v>
      </c>
      <c r="X110" s="141">
        <f t="shared" si="210"/>
        <v>17.033999999999999</v>
      </c>
      <c r="Y110" s="65">
        <f t="shared" si="184"/>
        <v>243.6</v>
      </c>
      <c r="Z110" s="65">
        <f t="shared" si="184"/>
        <v>303.39999999999998</v>
      </c>
      <c r="AA110" s="65">
        <f t="shared" si="184"/>
        <v>358.7</v>
      </c>
      <c r="AB110" s="65">
        <f t="shared" si="184"/>
        <v>325.5</v>
      </c>
      <c r="AC110" s="65">
        <f t="shared" si="175"/>
        <v>480.5</v>
      </c>
      <c r="AD110" s="65">
        <f t="shared" si="173"/>
        <v>664.3</v>
      </c>
      <c r="AE110" s="56">
        <f t="shared" si="213"/>
        <v>214.2</v>
      </c>
      <c r="AF110" s="55">
        <f>RCFs!$C$13</f>
        <v>16.48</v>
      </c>
      <c r="AG110" s="61">
        <f t="shared" si="195"/>
        <v>353.4</v>
      </c>
      <c r="AH110" s="61">
        <f t="shared" si="195"/>
        <v>449.8</v>
      </c>
      <c r="AI110" s="61">
        <f t="shared" si="195"/>
        <v>642.6</v>
      </c>
      <c r="AJ110" s="56">
        <f t="shared" si="199"/>
        <v>219.3</v>
      </c>
      <c r="AK110" s="141">
        <f>RCFs!$C$23</f>
        <v>16.876666666666669</v>
      </c>
      <c r="AL110" s="56">
        <f t="shared" si="200"/>
        <v>302.3</v>
      </c>
      <c r="AM110" s="141">
        <f>RCFs!$C$27</f>
        <v>23.256666666666668</v>
      </c>
      <c r="AN110" s="142">
        <f t="shared" si="201"/>
        <v>240.6</v>
      </c>
      <c r="AO110" s="141">
        <f>RCFs!$C$33</f>
        <v>18.513999999999999</v>
      </c>
      <c r="AP110" s="61">
        <f t="shared" si="206"/>
        <v>360.9</v>
      </c>
      <c r="AQ110" s="142">
        <f t="shared" si="202"/>
        <v>224.9</v>
      </c>
      <c r="AR110" s="141">
        <f>RCFs!$C$35</f>
        <v>17.306666666666668</v>
      </c>
      <c r="AS110" s="61">
        <f t="shared" si="129"/>
        <v>292.3</v>
      </c>
      <c r="AT110" s="61">
        <f t="shared" si="129"/>
        <v>326.10000000000002</v>
      </c>
      <c r="AU110" s="142">
        <f t="shared" si="211"/>
        <v>232.1</v>
      </c>
      <c r="AV110" s="141">
        <f>RCFs!$C$37</f>
        <v>17.86</v>
      </c>
      <c r="AW110" s="142">
        <f t="shared" si="207"/>
        <v>234.9</v>
      </c>
      <c r="AX110" s="141">
        <f>RCFs!$C$64</f>
        <v>18.07</v>
      </c>
      <c r="AY110" s="142">
        <f t="shared" si="211"/>
        <v>238.2</v>
      </c>
      <c r="AZ110" s="141">
        <f>RCFs!$C$39</f>
        <v>18.323333333333334</v>
      </c>
      <c r="BA110" s="141">
        <f t="shared" ref="BA110" si="215">ROUNDDOWN(BB110*$C110,1)</f>
        <v>228.5</v>
      </c>
      <c r="BB110" s="141">
        <f>RCFs!$C$41</f>
        <v>17.579000000000001</v>
      </c>
      <c r="BC110" s="84"/>
      <c r="BD110" s="84"/>
      <c r="BE110" s="84"/>
      <c r="BF110" s="84"/>
      <c r="BG110" s="84"/>
      <c r="BH110" s="84"/>
      <c r="BI110" s="84"/>
      <c r="BJ110" s="84"/>
      <c r="BK110" s="84"/>
      <c r="BL110" s="84"/>
      <c r="BM110" s="85"/>
      <c r="BN110" s="85"/>
      <c r="BO110" s="85"/>
      <c r="BP110" s="85"/>
      <c r="BQ110" s="85"/>
      <c r="BR110" s="85"/>
      <c r="BS110" s="85"/>
      <c r="BT110" s="85"/>
      <c r="BU110" s="85"/>
      <c r="BV110" s="85"/>
    </row>
    <row r="111" spans="1:74" s="86" customFormat="1" x14ac:dyDescent="0.2">
      <c r="A111" s="92" t="s">
        <v>129</v>
      </c>
      <c r="B111" s="90" t="s">
        <v>84</v>
      </c>
      <c r="C111" s="91">
        <v>50</v>
      </c>
      <c r="D111" s="93">
        <f t="shared" si="204"/>
        <v>837.9</v>
      </c>
      <c r="E111" s="94">
        <f>BB111</f>
        <v>16.757000000000001</v>
      </c>
      <c r="F111" s="56">
        <f t="shared" si="205"/>
        <v>837.7</v>
      </c>
      <c r="G111" s="141">
        <f>RCFs!$F$5</f>
        <v>16.753</v>
      </c>
      <c r="H111" s="56">
        <f t="shared" si="161"/>
        <v>837.7</v>
      </c>
      <c r="I111" s="141">
        <f>RCFs!$F$5</f>
        <v>16.753</v>
      </c>
      <c r="J111" s="65">
        <f t="shared" si="193"/>
        <v>921.4</v>
      </c>
      <c r="K111" s="65">
        <f t="shared" si="193"/>
        <v>1147.5999999999999</v>
      </c>
      <c r="L111" s="65">
        <f t="shared" si="193"/>
        <v>1231.3</v>
      </c>
      <c r="M111" s="65">
        <f t="shared" si="193"/>
        <v>1357</v>
      </c>
      <c r="N111" s="65">
        <f t="shared" si="193"/>
        <v>1675.3</v>
      </c>
      <c r="O111" s="65">
        <f t="shared" si="193"/>
        <v>1800.9</v>
      </c>
      <c r="P111" s="65">
        <f t="shared" si="193"/>
        <v>2513</v>
      </c>
      <c r="Q111" s="56">
        <f t="shared" si="209"/>
        <v>841.8</v>
      </c>
      <c r="R111" s="55">
        <f>RCFs!$F$7</f>
        <v>16.835999999999999</v>
      </c>
      <c r="S111" s="65">
        <f t="shared" si="131"/>
        <v>1094.3</v>
      </c>
      <c r="T111" s="65">
        <f t="shared" si="131"/>
        <v>1262.7</v>
      </c>
      <c r="U111" s="56">
        <f t="shared" si="162"/>
        <v>811.9</v>
      </c>
      <c r="V111" s="55">
        <f>RCFs!$F$9</f>
        <v>16.238</v>
      </c>
      <c r="W111" s="56">
        <f t="shared" si="165"/>
        <v>811.9</v>
      </c>
      <c r="X111" s="141">
        <f t="shared" si="210"/>
        <v>16.238</v>
      </c>
      <c r="Y111" s="65">
        <f t="shared" si="184"/>
        <v>893.1</v>
      </c>
      <c r="Z111" s="65">
        <f t="shared" si="184"/>
        <v>1112.3</v>
      </c>
      <c r="AA111" s="65">
        <f t="shared" si="184"/>
        <v>1315.3</v>
      </c>
      <c r="AB111" s="65">
        <f t="shared" si="184"/>
        <v>1193.5</v>
      </c>
      <c r="AC111" s="65">
        <f t="shared" si="175"/>
        <v>1761.8</v>
      </c>
      <c r="AD111" s="65">
        <f t="shared" si="173"/>
        <v>2435.6999999999998</v>
      </c>
      <c r="AE111" s="56">
        <f t="shared" si="213"/>
        <v>786.5</v>
      </c>
      <c r="AF111" s="55">
        <f>RCFs!$F$13</f>
        <v>15.73</v>
      </c>
      <c r="AG111" s="61">
        <f t="shared" si="195"/>
        <v>1297.7</v>
      </c>
      <c r="AH111" s="61">
        <f t="shared" si="195"/>
        <v>1651.7</v>
      </c>
      <c r="AI111" s="61">
        <f t="shared" si="195"/>
        <v>2359.5</v>
      </c>
      <c r="AJ111" s="56">
        <f t="shared" si="199"/>
        <v>804.4</v>
      </c>
      <c r="AK111" s="141">
        <f>RCFs!$F$23</f>
        <v>16.088000000000001</v>
      </c>
      <c r="AL111" s="56">
        <f t="shared" si="200"/>
        <v>1109.0999999999999</v>
      </c>
      <c r="AM111" s="141">
        <f>RCFs!$F$27</f>
        <v>22.181999999999999</v>
      </c>
      <c r="AN111" s="142">
        <f t="shared" si="201"/>
        <v>882.4</v>
      </c>
      <c r="AO111" s="141">
        <f>RCFs!$F$33</f>
        <v>17.648</v>
      </c>
      <c r="AP111" s="61">
        <f t="shared" si="206"/>
        <v>1323.6</v>
      </c>
      <c r="AQ111" s="142">
        <f t="shared" si="202"/>
        <v>837.8</v>
      </c>
      <c r="AR111" s="141">
        <f>RCFs!$F$41</f>
        <v>16.757000000000001</v>
      </c>
      <c r="AS111" s="61">
        <f t="shared" si="129"/>
        <v>1089.0999999999999</v>
      </c>
      <c r="AT111" s="61">
        <f t="shared" si="129"/>
        <v>1214.8</v>
      </c>
      <c r="AU111" s="142">
        <f t="shared" si="211"/>
        <v>851.6</v>
      </c>
      <c r="AV111" s="141">
        <f>RCFs!$F$37</f>
        <v>17.032</v>
      </c>
      <c r="AW111" s="142">
        <f t="shared" si="207"/>
        <v>861</v>
      </c>
      <c r="AX111" s="141">
        <f>RCFs!$F$64</f>
        <v>17.22</v>
      </c>
      <c r="AY111" s="142">
        <f t="shared" si="211"/>
        <v>868</v>
      </c>
      <c r="AZ111" s="141">
        <f>RCFs!$F$39</f>
        <v>17.36</v>
      </c>
      <c r="BA111" s="141">
        <f t="shared" ref="BA111" si="216">ROUNDDOWN(BB111*$C111,1)</f>
        <v>837.8</v>
      </c>
      <c r="BB111" s="141">
        <f>RCFs!$F$41</f>
        <v>16.757000000000001</v>
      </c>
      <c r="BC111" s="84"/>
      <c r="BD111" s="84"/>
      <c r="BE111" s="84"/>
      <c r="BF111" s="84"/>
      <c r="BG111" s="84"/>
      <c r="BH111" s="84"/>
      <c r="BI111" s="84"/>
      <c r="BJ111" s="84"/>
      <c r="BK111" s="84"/>
      <c r="BL111" s="84"/>
      <c r="BM111" s="85"/>
      <c r="BN111" s="85"/>
      <c r="BO111" s="85"/>
      <c r="BP111" s="85"/>
      <c r="BQ111" s="85"/>
      <c r="BR111" s="85"/>
      <c r="BS111" s="85"/>
      <c r="BT111" s="85"/>
      <c r="BU111" s="85"/>
      <c r="BV111" s="85"/>
    </row>
    <row r="112" spans="1:74" s="86" customFormat="1" x14ac:dyDescent="0.2">
      <c r="A112" s="92" t="s">
        <v>130</v>
      </c>
      <c r="B112" s="90" t="s">
        <v>85</v>
      </c>
      <c r="C112" s="91">
        <v>50</v>
      </c>
      <c r="D112" s="93">
        <f t="shared" si="204"/>
        <v>837.9</v>
      </c>
      <c r="E112" s="94">
        <f>BB112</f>
        <v>16.757000000000001</v>
      </c>
      <c r="F112" s="56">
        <f t="shared" si="205"/>
        <v>837.7</v>
      </c>
      <c r="G112" s="141">
        <f>RCFs!$F$5</f>
        <v>16.753</v>
      </c>
      <c r="H112" s="56">
        <f t="shared" si="161"/>
        <v>837.7</v>
      </c>
      <c r="I112" s="141">
        <f>RCFs!$F$5</f>
        <v>16.753</v>
      </c>
      <c r="J112" s="65">
        <f t="shared" si="193"/>
        <v>921.4</v>
      </c>
      <c r="K112" s="65">
        <f t="shared" si="193"/>
        <v>1147.5999999999999</v>
      </c>
      <c r="L112" s="65">
        <f t="shared" si="193"/>
        <v>1231.3</v>
      </c>
      <c r="M112" s="65">
        <f t="shared" si="193"/>
        <v>1357</v>
      </c>
      <c r="N112" s="65">
        <f t="shared" si="193"/>
        <v>1675.3</v>
      </c>
      <c r="O112" s="65">
        <f t="shared" si="193"/>
        <v>1800.9</v>
      </c>
      <c r="P112" s="65">
        <f t="shared" si="193"/>
        <v>2513</v>
      </c>
      <c r="Q112" s="56">
        <f t="shared" si="209"/>
        <v>841.8</v>
      </c>
      <c r="R112" s="55">
        <f>RCFs!$F$7</f>
        <v>16.835999999999999</v>
      </c>
      <c r="S112" s="65">
        <f t="shared" si="131"/>
        <v>1094.3</v>
      </c>
      <c r="T112" s="65">
        <f t="shared" si="131"/>
        <v>1262.7</v>
      </c>
      <c r="U112" s="56">
        <f t="shared" si="162"/>
        <v>811.9</v>
      </c>
      <c r="V112" s="55">
        <f>RCFs!$F$9</f>
        <v>16.238</v>
      </c>
      <c r="W112" s="56">
        <f t="shared" si="165"/>
        <v>811.9</v>
      </c>
      <c r="X112" s="141">
        <f t="shared" si="210"/>
        <v>16.238</v>
      </c>
      <c r="Y112" s="65">
        <f t="shared" si="184"/>
        <v>893.1</v>
      </c>
      <c r="Z112" s="65">
        <f t="shared" si="184"/>
        <v>1112.3</v>
      </c>
      <c r="AA112" s="65">
        <f t="shared" si="184"/>
        <v>1315.3</v>
      </c>
      <c r="AB112" s="65">
        <f t="shared" si="184"/>
        <v>1193.5</v>
      </c>
      <c r="AC112" s="65">
        <f t="shared" si="175"/>
        <v>1761.8</v>
      </c>
      <c r="AD112" s="65">
        <f t="shared" si="173"/>
        <v>2435.6999999999998</v>
      </c>
      <c r="AE112" s="56">
        <f t="shared" si="213"/>
        <v>786.5</v>
      </c>
      <c r="AF112" s="55">
        <f>RCFs!$F$13</f>
        <v>15.73</v>
      </c>
      <c r="AG112" s="61">
        <f t="shared" si="195"/>
        <v>1297.7</v>
      </c>
      <c r="AH112" s="61">
        <f t="shared" si="195"/>
        <v>1651.7</v>
      </c>
      <c r="AI112" s="61">
        <f t="shared" si="195"/>
        <v>2359.5</v>
      </c>
      <c r="AJ112" s="56">
        <f t="shared" si="199"/>
        <v>804.4</v>
      </c>
      <c r="AK112" s="141">
        <f>RCFs!$F$23</f>
        <v>16.088000000000001</v>
      </c>
      <c r="AL112" s="56">
        <f t="shared" si="200"/>
        <v>1109.0999999999999</v>
      </c>
      <c r="AM112" s="141">
        <f>RCFs!$F$27</f>
        <v>22.181999999999999</v>
      </c>
      <c r="AN112" s="142">
        <f t="shared" si="201"/>
        <v>882.4</v>
      </c>
      <c r="AO112" s="141">
        <f>RCFs!$F$33</f>
        <v>17.648</v>
      </c>
      <c r="AP112" s="61">
        <f t="shared" si="206"/>
        <v>1323.6</v>
      </c>
      <c r="AQ112" s="142">
        <f t="shared" si="202"/>
        <v>837.8</v>
      </c>
      <c r="AR112" s="141">
        <f>RCFs!$F$41</f>
        <v>16.757000000000001</v>
      </c>
      <c r="AS112" s="61">
        <f t="shared" si="129"/>
        <v>1089.0999999999999</v>
      </c>
      <c r="AT112" s="61">
        <f t="shared" si="129"/>
        <v>1214.8</v>
      </c>
      <c r="AU112" s="142">
        <f t="shared" si="211"/>
        <v>851.6</v>
      </c>
      <c r="AV112" s="141">
        <f>RCFs!$F$37</f>
        <v>17.032</v>
      </c>
      <c r="AW112" s="142">
        <f t="shared" si="207"/>
        <v>861</v>
      </c>
      <c r="AX112" s="141">
        <f>RCFs!$F$64</f>
        <v>17.22</v>
      </c>
      <c r="AY112" s="142">
        <f t="shared" si="211"/>
        <v>868</v>
      </c>
      <c r="AZ112" s="141">
        <f>RCFs!$F$39</f>
        <v>17.36</v>
      </c>
      <c r="BA112" s="141">
        <f t="shared" ref="BA112" si="217">ROUNDDOWN(BB112*$C112,1)</f>
        <v>837.8</v>
      </c>
      <c r="BB112" s="141">
        <f>RCFs!$F$41</f>
        <v>16.757000000000001</v>
      </c>
      <c r="BC112" s="84"/>
      <c r="BD112" s="84"/>
      <c r="BE112" s="84"/>
      <c r="BF112" s="84"/>
      <c r="BG112" s="84"/>
      <c r="BH112" s="84"/>
      <c r="BI112" s="84"/>
      <c r="BJ112" s="84"/>
      <c r="BK112" s="84"/>
      <c r="BL112" s="84"/>
      <c r="BM112" s="85"/>
      <c r="BN112" s="85"/>
      <c r="BO112" s="85"/>
      <c r="BP112" s="85"/>
      <c r="BQ112" s="85"/>
      <c r="BR112" s="85"/>
      <c r="BS112" s="85"/>
      <c r="BT112" s="85"/>
      <c r="BU112" s="85"/>
      <c r="BV112" s="85"/>
    </row>
    <row r="113" spans="1:74" x14ac:dyDescent="0.2">
      <c r="A113" s="95"/>
      <c r="B113" s="96"/>
      <c r="C113" s="97"/>
      <c r="D113" s="72"/>
      <c r="E113" s="73"/>
      <c r="F113" s="73"/>
      <c r="G113" s="73"/>
      <c r="H113" s="73"/>
      <c r="I113" s="73"/>
      <c r="J113" s="65"/>
      <c r="K113" s="65"/>
      <c r="L113" s="65"/>
      <c r="M113" s="65"/>
      <c r="N113" s="65"/>
      <c r="O113" s="65"/>
      <c r="P113" s="65"/>
      <c r="Q113" s="72"/>
      <c r="R113" s="73"/>
      <c r="S113" s="156"/>
      <c r="T113" s="156"/>
      <c r="U113" s="72"/>
      <c r="V113" s="73"/>
      <c r="W113" s="72"/>
      <c r="X113" s="73"/>
      <c r="Y113" s="98"/>
      <c r="Z113" s="98"/>
      <c r="AA113" s="98"/>
      <c r="AB113" s="98"/>
      <c r="AC113" s="98"/>
      <c r="AD113" s="98"/>
      <c r="AE113" s="72"/>
      <c r="AF113" s="72"/>
      <c r="AG113" s="75"/>
      <c r="AH113" s="75"/>
      <c r="AI113" s="75"/>
      <c r="AJ113" s="72"/>
      <c r="AK113" s="73"/>
      <c r="AL113" s="73"/>
      <c r="AM113" s="73"/>
      <c r="AN113" s="72"/>
      <c r="AO113" s="73"/>
      <c r="AP113" s="75"/>
      <c r="AQ113" s="72"/>
      <c r="AR113" s="73"/>
      <c r="AS113" s="75"/>
      <c r="AT113" s="75"/>
      <c r="AU113" s="72"/>
      <c r="AV113" s="73"/>
      <c r="AW113" s="72"/>
      <c r="AX113" s="73"/>
      <c r="AY113" s="72"/>
      <c r="AZ113" s="73"/>
      <c r="BA113" s="72"/>
      <c r="BB113" s="73"/>
    </row>
    <row r="114" spans="1:74" x14ac:dyDescent="0.2">
      <c r="A114" s="99"/>
      <c r="B114" s="100" t="s">
        <v>118</v>
      </c>
      <c r="C114" s="35"/>
      <c r="D114" s="36"/>
      <c r="E114" s="37"/>
      <c r="F114" s="37"/>
      <c r="G114" s="37"/>
      <c r="H114" s="37"/>
      <c r="I114" s="37"/>
      <c r="J114" s="37"/>
      <c r="K114" s="37"/>
      <c r="L114" s="37"/>
      <c r="M114" s="37"/>
      <c r="N114" s="37"/>
      <c r="O114" s="37"/>
      <c r="P114" s="37"/>
      <c r="Q114" s="36"/>
      <c r="R114" s="37"/>
      <c r="S114" s="37"/>
      <c r="T114" s="37"/>
      <c r="U114" s="36"/>
      <c r="V114" s="37"/>
      <c r="W114" s="36"/>
      <c r="X114" s="37"/>
      <c r="Y114" s="36"/>
      <c r="Z114" s="36"/>
      <c r="AA114" s="36"/>
      <c r="AB114" s="101"/>
      <c r="AC114" s="101"/>
      <c r="AD114" s="102"/>
      <c r="AE114" s="36"/>
      <c r="AF114" s="36"/>
      <c r="AG114" s="36"/>
      <c r="AH114" s="36"/>
      <c r="AI114" s="41"/>
      <c r="AJ114" s="36"/>
      <c r="AK114" s="37"/>
      <c r="AL114" s="37"/>
      <c r="AM114" s="37"/>
      <c r="AN114" s="36"/>
      <c r="AO114" s="37"/>
      <c r="AP114" s="41"/>
      <c r="AQ114" s="36"/>
      <c r="AR114" s="37"/>
      <c r="AS114" s="41"/>
      <c r="AT114" s="41"/>
      <c r="AU114" s="36"/>
      <c r="AV114" s="37"/>
      <c r="AW114" s="36"/>
      <c r="AX114" s="37"/>
      <c r="AY114" s="36"/>
      <c r="AZ114" s="37"/>
      <c r="BA114" s="37"/>
      <c r="BB114" s="37"/>
    </row>
    <row r="115" spans="1:74" s="67" customFormat="1" x14ac:dyDescent="0.2">
      <c r="A115" s="103"/>
      <c r="B115" s="104"/>
      <c r="C115" s="78"/>
      <c r="D115" s="47"/>
      <c r="E115" s="79"/>
      <c r="F115" s="79"/>
      <c r="G115" s="79"/>
      <c r="H115" s="79"/>
      <c r="I115" s="79"/>
      <c r="J115" s="65"/>
      <c r="K115" s="65"/>
      <c r="L115" s="65"/>
      <c r="M115" s="65"/>
      <c r="N115" s="65"/>
      <c r="O115" s="65"/>
      <c r="P115" s="65"/>
      <c r="Q115" s="47"/>
      <c r="R115" s="79"/>
      <c r="S115" s="155"/>
      <c r="T115" s="155"/>
      <c r="U115" s="47"/>
      <c r="V115" s="79"/>
      <c r="W115" s="47"/>
      <c r="X115" s="79"/>
      <c r="Y115" s="49"/>
      <c r="Z115" s="49"/>
      <c r="AA115" s="49"/>
      <c r="AB115" s="49"/>
      <c r="AC115" s="49"/>
      <c r="AD115" s="49"/>
      <c r="AE115" s="47"/>
      <c r="AF115" s="47"/>
      <c r="AG115" s="81"/>
      <c r="AH115" s="81"/>
      <c r="AI115" s="81"/>
      <c r="AJ115" s="47"/>
      <c r="AK115" s="79"/>
      <c r="AL115" s="79"/>
      <c r="AM115" s="79"/>
      <c r="AN115" s="47"/>
      <c r="AO115" s="79"/>
      <c r="AP115" s="81"/>
      <c r="AQ115" s="47"/>
      <c r="AR115" s="79"/>
      <c r="AS115" s="81"/>
      <c r="AT115" s="81"/>
      <c r="AU115" s="47"/>
      <c r="AV115" s="79"/>
      <c r="AW115" s="47"/>
      <c r="AX115" s="79"/>
      <c r="AY115" s="47"/>
      <c r="AZ115" s="79"/>
      <c r="BA115" s="47"/>
      <c r="BB115" s="79"/>
      <c r="BC115" s="4"/>
      <c r="BD115" s="4"/>
      <c r="BE115" s="4"/>
      <c r="BF115" s="4"/>
      <c r="BG115" s="4"/>
      <c r="BH115" s="4"/>
      <c r="BI115" s="4"/>
      <c r="BJ115" s="4"/>
      <c r="BK115" s="4"/>
      <c r="BL115" s="4"/>
      <c r="BM115" s="66"/>
      <c r="BN115" s="66"/>
      <c r="BO115" s="66"/>
      <c r="BP115" s="66"/>
      <c r="BQ115" s="66"/>
      <c r="BR115" s="66"/>
      <c r="BS115" s="66"/>
      <c r="BT115" s="66"/>
      <c r="BU115" s="66"/>
      <c r="BV115" s="66"/>
    </row>
    <row r="116" spans="1:74" s="86" customFormat="1" x14ac:dyDescent="0.2">
      <c r="A116" s="88">
        <v>1196</v>
      </c>
      <c r="B116" s="63" t="s">
        <v>141</v>
      </c>
      <c r="C116" s="64">
        <v>45.31</v>
      </c>
      <c r="D116" s="56">
        <f>ROUND(E116*C116,1)</f>
        <v>3087.5</v>
      </c>
      <c r="E116" s="141">
        <f>RCFs!$C$43</f>
        <v>68.141894999999991</v>
      </c>
      <c r="F116" s="56">
        <f t="shared" ref="F116:F140" si="218">ROUND(G116*C116,1)</f>
        <v>796.4</v>
      </c>
      <c r="G116" s="141">
        <f>RCFs!$C$5</f>
        <v>17.577000000000002</v>
      </c>
      <c r="H116" s="56">
        <f t="shared" ref="H116:H140" si="219">ROUND(I116*C116,1)</f>
        <v>796.4</v>
      </c>
      <c r="I116" s="141">
        <f>RCFs!$C$5</f>
        <v>17.577000000000002</v>
      </c>
      <c r="J116" s="65">
        <f t="shared" ref="J116:P125" si="220">ROUND($C116*$I116*J$6,1)</f>
        <v>876.1</v>
      </c>
      <c r="K116" s="65">
        <f t="shared" si="220"/>
        <v>1091.0999999999999</v>
      </c>
      <c r="L116" s="65">
        <f t="shared" si="220"/>
        <v>1170.7</v>
      </c>
      <c r="M116" s="65">
        <f t="shared" si="220"/>
        <v>1290.2</v>
      </c>
      <c r="N116" s="65">
        <f t="shared" si="220"/>
        <v>1592.8</v>
      </c>
      <c r="O116" s="65">
        <f t="shared" si="220"/>
        <v>1712.3</v>
      </c>
      <c r="P116" s="65">
        <f t="shared" si="220"/>
        <v>2389.1999999999998</v>
      </c>
      <c r="Q116" s="56">
        <f t="shared" ref="Q116:Q140" si="221">ROUND(R116*C116,1)</f>
        <v>800.2</v>
      </c>
      <c r="R116" s="55">
        <f>RCFs!$C$7</f>
        <v>17.66</v>
      </c>
      <c r="S116" s="65">
        <f t="shared" ref="S116:T132" si="222">ROUNDDOWN($Q116*S$6,1)</f>
        <v>1040.2</v>
      </c>
      <c r="T116" s="65">
        <f t="shared" si="222"/>
        <v>1200.3</v>
      </c>
      <c r="U116" s="56">
        <f t="shared" ref="U116:U140" si="223">ROUNDDOWN(C116*V116,1)</f>
        <v>771.8</v>
      </c>
      <c r="V116" s="55">
        <f>RCFs!$C$9</f>
        <v>17.033999999999999</v>
      </c>
      <c r="W116" s="56">
        <f t="shared" ref="W116:W140" si="224">ROUND(X116*C116,1)</f>
        <v>771.8</v>
      </c>
      <c r="X116" s="141">
        <f t="shared" ref="X116:X140" si="225">V116</f>
        <v>17.033999999999999</v>
      </c>
      <c r="Y116" s="65">
        <f t="shared" ref="Y116:AD125" si="226">ROUND($C116*$X116*Y$6,1)</f>
        <v>849</v>
      </c>
      <c r="Z116" s="65">
        <f t="shared" si="226"/>
        <v>1057.4000000000001</v>
      </c>
      <c r="AA116" s="65">
        <f t="shared" si="226"/>
        <v>1250.3</v>
      </c>
      <c r="AB116" s="65">
        <f t="shared" si="226"/>
        <v>1134.5999999999999</v>
      </c>
      <c r="AC116" s="65">
        <f t="shared" si="226"/>
        <v>1674.8</v>
      </c>
      <c r="AD116" s="65">
        <f t="shared" si="226"/>
        <v>2315.4</v>
      </c>
      <c r="AE116" s="56">
        <f t="shared" ref="AE116:AE140" si="227">ROUND(AF116*C116,1)</f>
        <v>746.7</v>
      </c>
      <c r="AF116" s="55">
        <f>RCFs!$C$13</f>
        <v>16.48</v>
      </c>
      <c r="AG116" s="61">
        <f t="shared" ref="AG116:AH140" si="228">ROUND($AE116*AG$6,1)</f>
        <v>1232.0999999999999</v>
      </c>
      <c r="AH116" s="61">
        <f t="shared" si="228"/>
        <v>1568.1</v>
      </c>
      <c r="AI116" s="61">
        <f t="shared" ref="AI116:AI140" si="229">ROUND($AE116*AI$6,1)</f>
        <v>2240.1</v>
      </c>
      <c r="AJ116" s="56">
        <f t="shared" ref="AJ116:AJ140" si="230">ROUNDDOWN(AK116*C116,1)</f>
        <v>764.6</v>
      </c>
      <c r="AK116" s="141">
        <f>RCFs!$C$23</f>
        <v>16.876666666666669</v>
      </c>
      <c r="AL116" s="56">
        <f t="shared" ref="AL116:AL140" si="231">ROUND(AM116*C116,1)</f>
        <v>1053.8</v>
      </c>
      <c r="AM116" s="141">
        <f>RCFs!$C$27</f>
        <v>23.256666666666668</v>
      </c>
      <c r="AN116" s="142">
        <f t="shared" ref="AN116:AN140" si="232">ROUNDDOWN(AO116*C116,1)</f>
        <v>838.8</v>
      </c>
      <c r="AO116" s="141">
        <f>RCFs!$C$33</f>
        <v>18.513999999999999</v>
      </c>
      <c r="AP116" s="61">
        <f t="shared" ref="AP116:AP140" si="233">ROUNDDOWN(AN116*$AP$6,1)</f>
        <v>1258.2</v>
      </c>
      <c r="AQ116" s="142">
        <f t="shared" ref="AQ116:AQ140" si="234">ROUNDDOWN(AR116*C116,1)</f>
        <v>784.1</v>
      </c>
      <c r="AR116" s="141">
        <f>RCFs!$C$35</f>
        <v>17.306666666666668</v>
      </c>
      <c r="AS116" s="61">
        <f t="shared" ref="AS116:AT132" si="235">ROUNDDOWN($AQ116*AS$6,1)</f>
        <v>1019.3</v>
      </c>
      <c r="AT116" s="61">
        <f t="shared" si="235"/>
        <v>1136.9000000000001</v>
      </c>
      <c r="AU116" s="142">
        <f t="shared" ref="AU116:AY140" si="236">ROUNDDOWN(AV116*$C116,1)</f>
        <v>809.2</v>
      </c>
      <c r="AV116" s="141">
        <f>RCFs!$C$37</f>
        <v>17.86</v>
      </c>
      <c r="AW116" s="142">
        <f t="shared" ref="AW116:AW140" si="237">ROUNDDOWN(AX116*C116,1)</f>
        <v>818.7</v>
      </c>
      <c r="AX116" s="141">
        <f>RCFs!$C$64</f>
        <v>18.07</v>
      </c>
      <c r="AY116" s="142">
        <f t="shared" si="236"/>
        <v>830.2</v>
      </c>
      <c r="AZ116" s="141">
        <f>RCFs!$C$39</f>
        <v>18.323333333333334</v>
      </c>
      <c r="BA116" s="141">
        <f t="shared" ref="BA116" si="238">ROUNDDOWN(BB116*$C116,1)</f>
        <v>796.5</v>
      </c>
      <c r="BB116" s="141">
        <f>RCFs!$C$41</f>
        <v>17.579000000000001</v>
      </c>
      <c r="BC116" s="84"/>
      <c r="BD116" s="84"/>
      <c r="BE116" s="84"/>
      <c r="BF116" s="84"/>
      <c r="BG116" s="84"/>
      <c r="BH116" s="84"/>
      <c r="BI116" s="84"/>
      <c r="BJ116" s="84"/>
      <c r="BK116" s="84"/>
      <c r="BL116" s="84"/>
      <c r="BM116" s="85"/>
      <c r="BN116" s="85"/>
      <c r="BO116" s="85"/>
      <c r="BP116" s="85"/>
      <c r="BQ116" s="85"/>
      <c r="BR116" s="85"/>
      <c r="BS116" s="85"/>
      <c r="BT116" s="85"/>
      <c r="BU116" s="85"/>
      <c r="BV116" s="85"/>
    </row>
    <row r="117" spans="1:74" s="86" customFormat="1" ht="70.900000000000006" customHeight="1" x14ac:dyDescent="0.2">
      <c r="A117" s="88">
        <v>1211</v>
      </c>
      <c r="B117" s="105" t="s">
        <v>142</v>
      </c>
      <c r="C117" s="56">
        <v>0</v>
      </c>
      <c r="D117" s="56">
        <f>ROUND(E117*C117,1)</f>
        <v>0</v>
      </c>
      <c r="E117" s="141">
        <f>RCFs!$C$43</f>
        <v>68.141894999999991</v>
      </c>
      <c r="F117" s="56">
        <f t="shared" si="218"/>
        <v>0</v>
      </c>
      <c r="G117" s="141">
        <f>RCFs!$C$5</f>
        <v>17.577000000000002</v>
      </c>
      <c r="H117" s="56">
        <f t="shared" si="219"/>
        <v>0</v>
      </c>
      <c r="I117" s="141">
        <f>RCFs!$C$5</f>
        <v>17.577000000000002</v>
      </c>
      <c r="J117" s="65">
        <f t="shared" si="220"/>
        <v>0</v>
      </c>
      <c r="K117" s="65">
        <f t="shared" si="220"/>
        <v>0</v>
      </c>
      <c r="L117" s="65">
        <f t="shared" si="220"/>
        <v>0</v>
      </c>
      <c r="M117" s="65">
        <f t="shared" si="220"/>
        <v>0</v>
      </c>
      <c r="N117" s="65">
        <f t="shared" si="220"/>
        <v>0</v>
      </c>
      <c r="O117" s="65">
        <f t="shared" si="220"/>
        <v>0</v>
      </c>
      <c r="P117" s="65">
        <f t="shared" si="220"/>
        <v>0</v>
      </c>
      <c r="Q117" s="56">
        <f t="shared" si="221"/>
        <v>0</v>
      </c>
      <c r="R117" s="55">
        <f>RCFs!$C$7</f>
        <v>17.66</v>
      </c>
      <c r="S117" s="65">
        <f t="shared" si="222"/>
        <v>0</v>
      </c>
      <c r="T117" s="65">
        <f t="shared" si="222"/>
        <v>0</v>
      </c>
      <c r="U117" s="56">
        <f t="shared" si="223"/>
        <v>0</v>
      </c>
      <c r="V117" s="55">
        <f>RCFs!$C$9</f>
        <v>17.033999999999999</v>
      </c>
      <c r="W117" s="56">
        <f t="shared" si="224"/>
        <v>0</v>
      </c>
      <c r="X117" s="141">
        <f t="shared" si="225"/>
        <v>17.033999999999999</v>
      </c>
      <c r="Y117" s="65">
        <f t="shared" si="226"/>
        <v>0</v>
      </c>
      <c r="Z117" s="65">
        <f t="shared" si="226"/>
        <v>0</v>
      </c>
      <c r="AA117" s="65">
        <f t="shared" si="226"/>
        <v>0</v>
      </c>
      <c r="AB117" s="65">
        <f t="shared" si="226"/>
        <v>0</v>
      </c>
      <c r="AC117" s="65">
        <f t="shared" si="226"/>
        <v>0</v>
      </c>
      <c r="AD117" s="65">
        <f t="shared" si="226"/>
        <v>0</v>
      </c>
      <c r="AE117" s="56">
        <f t="shared" si="227"/>
        <v>0</v>
      </c>
      <c r="AF117" s="55">
        <f>RCFs!$C$13</f>
        <v>16.48</v>
      </c>
      <c r="AG117" s="61">
        <f t="shared" si="228"/>
        <v>0</v>
      </c>
      <c r="AH117" s="61">
        <f t="shared" si="228"/>
        <v>0</v>
      </c>
      <c r="AI117" s="61">
        <f t="shared" si="229"/>
        <v>0</v>
      </c>
      <c r="AJ117" s="56">
        <f t="shared" si="230"/>
        <v>0</v>
      </c>
      <c r="AK117" s="141">
        <f>RCFs!$C$23</f>
        <v>16.876666666666669</v>
      </c>
      <c r="AL117" s="56">
        <f t="shared" si="231"/>
        <v>0</v>
      </c>
      <c r="AM117" s="141">
        <f>RCFs!$C$27</f>
        <v>23.256666666666668</v>
      </c>
      <c r="AN117" s="142">
        <f t="shared" si="232"/>
        <v>0</v>
      </c>
      <c r="AO117" s="141">
        <f>RCFs!$C$33</f>
        <v>18.513999999999999</v>
      </c>
      <c r="AP117" s="61">
        <f t="shared" si="233"/>
        <v>0</v>
      </c>
      <c r="AQ117" s="142">
        <f t="shared" si="234"/>
        <v>0</v>
      </c>
      <c r="AR117" s="141">
        <f>RCFs!$C$35</f>
        <v>17.306666666666668</v>
      </c>
      <c r="AS117" s="61">
        <f t="shared" si="235"/>
        <v>0</v>
      </c>
      <c r="AT117" s="61">
        <f t="shared" si="235"/>
        <v>0</v>
      </c>
      <c r="AU117" s="142">
        <f t="shared" si="236"/>
        <v>0</v>
      </c>
      <c r="AV117" s="141">
        <f>RCFs!$C$37</f>
        <v>17.86</v>
      </c>
      <c r="AW117" s="142">
        <f t="shared" si="237"/>
        <v>0</v>
      </c>
      <c r="AX117" s="141">
        <f>RCFs!$C$64</f>
        <v>18.07</v>
      </c>
      <c r="AY117" s="142">
        <f t="shared" si="236"/>
        <v>0</v>
      </c>
      <c r="AZ117" s="141">
        <f>RCFs!$C$39</f>
        <v>18.323333333333334</v>
      </c>
      <c r="BA117" s="141">
        <f t="shared" ref="BA117" si="239">ROUNDDOWN(BB117*$C117,1)</f>
        <v>0</v>
      </c>
      <c r="BB117" s="141">
        <f>RCFs!$C$41</f>
        <v>17.579000000000001</v>
      </c>
      <c r="BC117" s="84"/>
      <c r="BD117" s="84"/>
      <c r="BE117" s="84"/>
      <c r="BF117" s="84"/>
      <c r="BG117" s="84"/>
      <c r="BH117" s="84"/>
      <c r="BI117" s="84"/>
      <c r="BJ117" s="84"/>
      <c r="BK117" s="84"/>
      <c r="BL117" s="84"/>
      <c r="BM117" s="85"/>
      <c r="BN117" s="85"/>
      <c r="BO117" s="85"/>
      <c r="BP117" s="85"/>
      <c r="BQ117" s="85"/>
      <c r="BR117" s="85"/>
      <c r="BS117" s="85"/>
      <c r="BT117" s="85"/>
      <c r="BU117" s="85"/>
      <c r="BV117" s="85"/>
    </row>
    <row r="118" spans="1:74" s="86" customFormat="1" x14ac:dyDescent="0.2">
      <c r="A118" s="83">
        <v>1230</v>
      </c>
      <c r="B118" s="63" t="s">
        <v>70</v>
      </c>
      <c r="C118" s="64">
        <v>6</v>
      </c>
      <c r="D118" s="56">
        <f>ROUND(E118*C118,1)</f>
        <v>408.9</v>
      </c>
      <c r="E118" s="141">
        <f>RCFs!$C$43</f>
        <v>68.141894999999991</v>
      </c>
      <c r="F118" s="56">
        <f t="shared" si="218"/>
        <v>105.5</v>
      </c>
      <c r="G118" s="141">
        <f>RCFs!$C$5</f>
        <v>17.577000000000002</v>
      </c>
      <c r="H118" s="56">
        <f t="shared" si="219"/>
        <v>105.5</v>
      </c>
      <c r="I118" s="141">
        <f>RCFs!$C$5</f>
        <v>17.577000000000002</v>
      </c>
      <c r="J118" s="65">
        <f t="shared" si="220"/>
        <v>116</v>
      </c>
      <c r="K118" s="65">
        <f t="shared" si="220"/>
        <v>144.5</v>
      </c>
      <c r="L118" s="65">
        <f t="shared" si="220"/>
        <v>155</v>
      </c>
      <c r="M118" s="65">
        <f t="shared" si="220"/>
        <v>170.8</v>
      </c>
      <c r="N118" s="65">
        <f t="shared" si="220"/>
        <v>210.9</v>
      </c>
      <c r="O118" s="65">
        <f t="shared" si="220"/>
        <v>226.7</v>
      </c>
      <c r="P118" s="65">
        <f t="shared" si="220"/>
        <v>316.39999999999998</v>
      </c>
      <c r="Q118" s="56">
        <f t="shared" si="221"/>
        <v>106</v>
      </c>
      <c r="R118" s="55">
        <f>RCFs!$C$7</f>
        <v>17.66</v>
      </c>
      <c r="S118" s="65">
        <f t="shared" si="222"/>
        <v>137.80000000000001</v>
      </c>
      <c r="T118" s="65">
        <f t="shared" si="222"/>
        <v>159</v>
      </c>
      <c r="U118" s="56">
        <f t="shared" si="223"/>
        <v>102.2</v>
      </c>
      <c r="V118" s="55">
        <f>RCFs!$C$9</f>
        <v>17.033999999999999</v>
      </c>
      <c r="W118" s="56">
        <f t="shared" si="224"/>
        <v>102.2</v>
      </c>
      <c r="X118" s="141">
        <f t="shared" si="225"/>
        <v>17.033999999999999</v>
      </c>
      <c r="Y118" s="65">
        <f t="shared" si="226"/>
        <v>112.4</v>
      </c>
      <c r="Z118" s="65">
        <f t="shared" si="226"/>
        <v>140</v>
      </c>
      <c r="AA118" s="65">
        <f t="shared" si="226"/>
        <v>165.6</v>
      </c>
      <c r="AB118" s="65">
        <f t="shared" si="226"/>
        <v>150.19999999999999</v>
      </c>
      <c r="AC118" s="65">
        <f t="shared" si="226"/>
        <v>221.8</v>
      </c>
      <c r="AD118" s="65">
        <f t="shared" si="226"/>
        <v>306.60000000000002</v>
      </c>
      <c r="AE118" s="56">
        <f t="shared" si="227"/>
        <v>98.9</v>
      </c>
      <c r="AF118" s="55">
        <f>RCFs!$C$13</f>
        <v>16.48</v>
      </c>
      <c r="AG118" s="61">
        <f t="shared" si="228"/>
        <v>163.19999999999999</v>
      </c>
      <c r="AH118" s="61">
        <f t="shared" si="228"/>
        <v>207.7</v>
      </c>
      <c r="AI118" s="61">
        <f t="shared" si="229"/>
        <v>296.7</v>
      </c>
      <c r="AJ118" s="56">
        <f t="shared" si="230"/>
        <v>101.2</v>
      </c>
      <c r="AK118" s="141">
        <f>RCFs!$C$23</f>
        <v>16.876666666666669</v>
      </c>
      <c r="AL118" s="56">
        <f t="shared" si="231"/>
        <v>139.5</v>
      </c>
      <c r="AM118" s="141">
        <f>RCFs!$C$27</f>
        <v>23.256666666666668</v>
      </c>
      <c r="AN118" s="142">
        <f t="shared" si="232"/>
        <v>111</v>
      </c>
      <c r="AO118" s="141">
        <f>RCFs!$C$33</f>
        <v>18.513999999999999</v>
      </c>
      <c r="AP118" s="61">
        <f t="shared" si="233"/>
        <v>166.5</v>
      </c>
      <c r="AQ118" s="142">
        <f t="shared" si="234"/>
        <v>103.8</v>
      </c>
      <c r="AR118" s="141">
        <f>RCFs!$C$35</f>
        <v>17.306666666666668</v>
      </c>
      <c r="AS118" s="61">
        <f t="shared" si="235"/>
        <v>134.9</v>
      </c>
      <c r="AT118" s="61">
        <f t="shared" si="235"/>
        <v>150.5</v>
      </c>
      <c r="AU118" s="142">
        <f t="shared" si="236"/>
        <v>107.1</v>
      </c>
      <c r="AV118" s="141">
        <f>RCFs!$C$37</f>
        <v>17.86</v>
      </c>
      <c r="AW118" s="142">
        <f t="shared" si="237"/>
        <v>108.4</v>
      </c>
      <c r="AX118" s="141">
        <f>RCFs!$C$64</f>
        <v>18.07</v>
      </c>
      <c r="AY118" s="142">
        <f t="shared" si="236"/>
        <v>109.9</v>
      </c>
      <c r="AZ118" s="141">
        <f>RCFs!$C$39</f>
        <v>18.323333333333334</v>
      </c>
      <c r="BA118" s="141">
        <f t="shared" ref="BA118" si="240">ROUNDDOWN(BB118*$C118,1)</f>
        <v>105.4</v>
      </c>
      <c r="BB118" s="141">
        <f>RCFs!$C$41</f>
        <v>17.579000000000001</v>
      </c>
      <c r="BC118" s="84"/>
      <c r="BD118" s="84"/>
      <c r="BE118" s="84"/>
      <c r="BF118" s="84"/>
      <c r="BG118" s="84"/>
      <c r="BH118" s="84"/>
      <c r="BI118" s="84"/>
      <c r="BJ118" s="84"/>
      <c r="BK118" s="84"/>
      <c r="BL118" s="84"/>
      <c r="BM118" s="85"/>
      <c r="BN118" s="85"/>
      <c r="BO118" s="85"/>
      <c r="BP118" s="85"/>
      <c r="BQ118" s="85"/>
      <c r="BR118" s="85"/>
      <c r="BS118" s="85"/>
      <c r="BT118" s="85"/>
      <c r="BU118" s="85"/>
      <c r="BV118" s="85"/>
    </row>
    <row r="119" spans="1:74" s="86" customFormat="1" x14ac:dyDescent="0.2">
      <c r="A119" s="83">
        <v>1231</v>
      </c>
      <c r="B119" s="63" t="s">
        <v>71</v>
      </c>
      <c r="C119" s="64">
        <v>10</v>
      </c>
      <c r="D119" s="56">
        <f>ROUND(E119*C119,1)</f>
        <v>681.4</v>
      </c>
      <c r="E119" s="141">
        <f>RCFs!$C$43</f>
        <v>68.141894999999991</v>
      </c>
      <c r="F119" s="56">
        <f t="shared" si="218"/>
        <v>175.8</v>
      </c>
      <c r="G119" s="141">
        <f>RCFs!$C$5</f>
        <v>17.577000000000002</v>
      </c>
      <c r="H119" s="56">
        <f t="shared" si="219"/>
        <v>175.8</v>
      </c>
      <c r="I119" s="141">
        <f>RCFs!$C$5</f>
        <v>17.577000000000002</v>
      </c>
      <c r="J119" s="65">
        <f t="shared" si="220"/>
        <v>193.3</v>
      </c>
      <c r="K119" s="65">
        <f t="shared" si="220"/>
        <v>240.8</v>
      </c>
      <c r="L119" s="65">
        <f t="shared" si="220"/>
        <v>258.39999999999998</v>
      </c>
      <c r="M119" s="65">
        <f t="shared" si="220"/>
        <v>284.7</v>
      </c>
      <c r="N119" s="65">
        <f t="shared" si="220"/>
        <v>351.5</v>
      </c>
      <c r="O119" s="65">
        <f t="shared" si="220"/>
        <v>377.9</v>
      </c>
      <c r="P119" s="65">
        <f t="shared" si="220"/>
        <v>527.29999999999995</v>
      </c>
      <c r="Q119" s="56">
        <f t="shared" si="221"/>
        <v>176.6</v>
      </c>
      <c r="R119" s="55">
        <f>RCFs!$C$7</f>
        <v>17.66</v>
      </c>
      <c r="S119" s="65">
        <f t="shared" si="222"/>
        <v>229.5</v>
      </c>
      <c r="T119" s="65">
        <f t="shared" si="222"/>
        <v>264.89999999999998</v>
      </c>
      <c r="U119" s="56">
        <f t="shared" si="223"/>
        <v>170.3</v>
      </c>
      <c r="V119" s="55">
        <f>RCFs!$C$9</f>
        <v>17.033999999999999</v>
      </c>
      <c r="W119" s="56">
        <f t="shared" si="224"/>
        <v>170.3</v>
      </c>
      <c r="X119" s="141">
        <f t="shared" si="225"/>
        <v>17.033999999999999</v>
      </c>
      <c r="Y119" s="65">
        <f t="shared" si="226"/>
        <v>187.4</v>
      </c>
      <c r="Z119" s="65">
        <f t="shared" si="226"/>
        <v>233.4</v>
      </c>
      <c r="AA119" s="65">
        <f t="shared" si="226"/>
        <v>276</v>
      </c>
      <c r="AB119" s="65">
        <f t="shared" si="226"/>
        <v>250.4</v>
      </c>
      <c r="AC119" s="65">
        <f t="shared" si="226"/>
        <v>369.6</v>
      </c>
      <c r="AD119" s="65">
        <f t="shared" si="226"/>
        <v>511</v>
      </c>
      <c r="AE119" s="56">
        <f t="shared" si="227"/>
        <v>164.8</v>
      </c>
      <c r="AF119" s="55">
        <f>RCFs!$C$13</f>
        <v>16.48</v>
      </c>
      <c r="AG119" s="61">
        <f t="shared" si="228"/>
        <v>271.89999999999998</v>
      </c>
      <c r="AH119" s="61">
        <f t="shared" si="228"/>
        <v>346.1</v>
      </c>
      <c r="AI119" s="61">
        <f t="shared" si="229"/>
        <v>494.4</v>
      </c>
      <c r="AJ119" s="56">
        <f t="shared" si="230"/>
        <v>168.7</v>
      </c>
      <c r="AK119" s="141">
        <f>RCFs!$C$23</f>
        <v>16.876666666666669</v>
      </c>
      <c r="AL119" s="56">
        <f t="shared" si="231"/>
        <v>232.6</v>
      </c>
      <c r="AM119" s="141">
        <f>RCFs!$C$27</f>
        <v>23.256666666666668</v>
      </c>
      <c r="AN119" s="142">
        <f t="shared" si="232"/>
        <v>185.1</v>
      </c>
      <c r="AO119" s="141">
        <f>RCFs!$C$33</f>
        <v>18.513999999999999</v>
      </c>
      <c r="AP119" s="61">
        <f t="shared" si="233"/>
        <v>277.60000000000002</v>
      </c>
      <c r="AQ119" s="142">
        <f t="shared" si="234"/>
        <v>173</v>
      </c>
      <c r="AR119" s="141">
        <f>RCFs!$C$35</f>
        <v>17.306666666666668</v>
      </c>
      <c r="AS119" s="61">
        <f t="shared" si="235"/>
        <v>224.9</v>
      </c>
      <c r="AT119" s="61">
        <f t="shared" si="235"/>
        <v>250.8</v>
      </c>
      <c r="AU119" s="142">
        <f t="shared" si="236"/>
        <v>178.6</v>
      </c>
      <c r="AV119" s="141">
        <f>RCFs!$C$37</f>
        <v>17.86</v>
      </c>
      <c r="AW119" s="142">
        <f t="shared" si="237"/>
        <v>180.7</v>
      </c>
      <c r="AX119" s="141">
        <f>RCFs!$C$64</f>
        <v>18.07</v>
      </c>
      <c r="AY119" s="142">
        <f t="shared" si="236"/>
        <v>183.2</v>
      </c>
      <c r="AZ119" s="141">
        <f>RCFs!$C$39</f>
        <v>18.323333333333334</v>
      </c>
      <c r="BA119" s="141">
        <f t="shared" ref="BA119" si="241">ROUNDDOWN(BB119*$C119,1)</f>
        <v>175.7</v>
      </c>
      <c r="BB119" s="141">
        <f>RCFs!$C$41</f>
        <v>17.579000000000001</v>
      </c>
      <c r="BC119" s="84"/>
      <c r="BD119" s="84"/>
      <c r="BE119" s="84"/>
      <c r="BF119" s="84"/>
      <c r="BG119" s="84"/>
      <c r="BH119" s="84"/>
      <c r="BI119" s="84"/>
      <c r="BJ119" s="84"/>
      <c r="BK119" s="84"/>
      <c r="BL119" s="84"/>
      <c r="BM119" s="85"/>
      <c r="BN119" s="85"/>
      <c r="BO119" s="85"/>
      <c r="BP119" s="85"/>
      <c r="BQ119" s="85"/>
      <c r="BR119" s="85"/>
      <c r="BS119" s="85"/>
      <c r="BT119" s="85"/>
      <c r="BU119" s="85"/>
      <c r="BV119" s="85"/>
    </row>
    <row r="120" spans="1:74" x14ac:dyDescent="0.2">
      <c r="A120" s="106" t="s">
        <v>127</v>
      </c>
      <c r="B120" s="63" t="s">
        <v>72</v>
      </c>
      <c r="C120" s="64">
        <v>9</v>
      </c>
      <c r="D120" s="93">
        <f>ROUND(E120*AJ120,1)</f>
        <v>2668.5</v>
      </c>
      <c r="E120" s="173">
        <f>BB120</f>
        <v>17.579000000000001</v>
      </c>
      <c r="F120" s="56">
        <f t="shared" si="218"/>
        <v>158.19999999999999</v>
      </c>
      <c r="G120" s="141">
        <f>RCFs!$C$5</f>
        <v>17.577000000000002</v>
      </c>
      <c r="H120" s="56">
        <f t="shared" si="219"/>
        <v>158.19999999999999</v>
      </c>
      <c r="I120" s="141">
        <f>RCFs!$C$5</f>
        <v>17.577000000000002</v>
      </c>
      <c r="J120" s="65">
        <f t="shared" si="220"/>
        <v>174</v>
      </c>
      <c r="K120" s="65">
        <f t="shared" si="220"/>
        <v>216.7</v>
      </c>
      <c r="L120" s="65">
        <f t="shared" si="220"/>
        <v>232.5</v>
      </c>
      <c r="M120" s="65">
        <f t="shared" si="220"/>
        <v>256.3</v>
      </c>
      <c r="N120" s="65">
        <f t="shared" si="220"/>
        <v>316.39999999999998</v>
      </c>
      <c r="O120" s="65">
        <f t="shared" si="220"/>
        <v>340.1</v>
      </c>
      <c r="P120" s="65">
        <f t="shared" si="220"/>
        <v>474.6</v>
      </c>
      <c r="Q120" s="56">
        <f t="shared" si="221"/>
        <v>158.9</v>
      </c>
      <c r="R120" s="55">
        <f>RCFs!$C$7</f>
        <v>17.66</v>
      </c>
      <c r="S120" s="65">
        <f t="shared" si="222"/>
        <v>206.5</v>
      </c>
      <c r="T120" s="65">
        <f t="shared" si="222"/>
        <v>238.3</v>
      </c>
      <c r="U120" s="56">
        <f t="shared" si="223"/>
        <v>153.30000000000001</v>
      </c>
      <c r="V120" s="55">
        <f>RCFs!$C$9</f>
        <v>17.033999999999999</v>
      </c>
      <c r="W120" s="56">
        <f t="shared" si="224"/>
        <v>153.30000000000001</v>
      </c>
      <c r="X120" s="141">
        <f t="shared" si="225"/>
        <v>17.033999999999999</v>
      </c>
      <c r="Y120" s="65">
        <f t="shared" si="226"/>
        <v>168.6</v>
      </c>
      <c r="Z120" s="65">
        <f t="shared" si="226"/>
        <v>210</v>
      </c>
      <c r="AA120" s="65">
        <f t="shared" si="226"/>
        <v>248.4</v>
      </c>
      <c r="AB120" s="65">
        <f t="shared" si="226"/>
        <v>225.4</v>
      </c>
      <c r="AC120" s="65">
        <f t="shared" si="226"/>
        <v>332.7</v>
      </c>
      <c r="AD120" s="65">
        <f t="shared" si="226"/>
        <v>459.9</v>
      </c>
      <c r="AE120" s="56">
        <f t="shared" si="227"/>
        <v>148.30000000000001</v>
      </c>
      <c r="AF120" s="55">
        <f>RCFs!$C$13</f>
        <v>16.48</v>
      </c>
      <c r="AG120" s="61">
        <f t="shared" si="228"/>
        <v>244.7</v>
      </c>
      <c r="AH120" s="61">
        <f t="shared" si="228"/>
        <v>311.39999999999998</v>
      </c>
      <c r="AI120" s="61">
        <f t="shared" si="229"/>
        <v>444.9</v>
      </c>
      <c r="AJ120" s="56">
        <f t="shared" si="230"/>
        <v>151.80000000000001</v>
      </c>
      <c r="AK120" s="141">
        <f>RCFs!$C$23</f>
        <v>16.876666666666669</v>
      </c>
      <c r="AL120" s="56">
        <f t="shared" si="231"/>
        <v>209.3</v>
      </c>
      <c r="AM120" s="141">
        <f>RCFs!$C$27</f>
        <v>23.256666666666668</v>
      </c>
      <c r="AN120" s="142">
        <f t="shared" si="232"/>
        <v>166.6</v>
      </c>
      <c r="AO120" s="141">
        <f>RCFs!$C$33</f>
        <v>18.513999999999999</v>
      </c>
      <c r="AP120" s="61">
        <f t="shared" si="233"/>
        <v>249.9</v>
      </c>
      <c r="AQ120" s="142">
        <f t="shared" si="234"/>
        <v>155.69999999999999</v>
      </c>
      <c r="AR120" s="141">
        <f>RCFs!$C$35</f>
        <v>17.306666666666668</v>
      </c>
      <c r="AS120" s="61">
        <f t="shared" si="235"/>
        <v>202.4</v>
      </c>
      <c r="AT120" s="61">
        <f t="shared" si="235"/>
        <v>225.7</v>
      </c>
      <c r="AU120" s="142">
        <f t="shared" si="236"/>
        <v>160.69999999999999</v>
      </c>
      <c r="AV120" s="141">
        <f>RCFs!$C$37</f>
        <v>17.86</v>
      </c>
      <c r="AW120" s="142">
        <f t="shared" si="237"/>
        <v>162.6</v>
      </c>
      <c r="AX120" s="141">
        <f>RCFs!$C$64</f>
        <v>18.07</v>
      </c>
      <c r="AY120" s="142">
        <f t="shared" si="236"/>
        <v>164.9</v>
      </c>
      <c r="AZ120" s="141">
        <f>RCFs!$C$39</f>
        <v>18.323333333333334</v>
      </c>
      <c r="BA120" s="141">
        <f t="shared" ref="BA120" si="242">ROUNDDOWN(BB120*$C120,1)</f>
        <v>158.19999999999999</v>
      </c>
      <c r="BB120" s="141">
        <f>RCFs!$C$41</f>
        <v>17.579000000000001</v>
      </c>
    </row>
    <row r="121" spans="1:74" s="86" customFormat="1" x14ac:dyDescent="0.2">
      <c r="A121" s="106" t="s">
        <v>128</v>
      </c>
      <c r="B121" s="63" t="s">
        <v>73</v>
      </c>
      <c r="C121" s="64">
        <v>13</v>
      </c>
      <c r="D121" s="93">
        <f>ROUND(E121*AJ121,1)</f>
        <v>3855.1</v>
      </c>
      <c r="E121" s="173">
        <f>BB121</f>
        <v>17.579000000000001</v>
      </c>
      <c r="F121" s="56">
        <f t="shared" si="218"/>
        <v>228.5</v>
      </c>
      <c r="G121" s="141">
        <f>RCFs!$C$5</f>
        <v>17.577000000000002</v>
      </c>
      <c r="H121" s="56">
        <f t="shared" si="219"/>
        <v>228.5</v>
      </c>
      <c r="I121" s="141">
        <f>RCFs!$C$5</f>
        <v>17.577000000000002</v>
      </c>
      <c r="J121" s="65">
        <f t="shared" si="220"/>
        <v>251.4</v>
      </c>
      <c r="K121" s="65">
        <f t="shared" si="220"/>
        <v>313</v>
      </c>
      <c r="L121" s="65">
        <f t="shared" si="220"/>
        <v>335.9</v>
      </c>
      <c r="M121" s="65">
        <f t="shared" si="220"/>
        <v>370.2</v>
      </c>
      <c r="N121" s="65">
        <f t="shared" si="220"/>
        <v>457</v>
      </c>
      <c r="O121" s="65">
        <f t="shared" si="220"/>
        <v>491.3</v>
      </c>
      <c r="P121" s="65">
        <f t="shared" si="220"/>
        <v>685.5</v>
      </c>
      <c r="Q121" s="56">
        <f t="shared" si="221"/>
        <v>229.6</v>
      </c>
      <c r="R121" s="55">
        <f>RCFs!$C$7</f>
        <v>17.66</v>
      </c>
      <c r="S121" s="65">
        <f t="shared" si="222"/>
        <v>298.39999999999998</v>
      </c>
      <c r="T121" s="65">
        <f t="shared" si="222"/>
        <v>344.4</v>
      </c>
      <c r="U121" s="56">
        <f t="shared" si="223"/>
        <v>221.4</v>
      </c>
      <c r="V121" s="55">
        <f>RCFs!$C$9</f>
        <v>17.033999999999999</v>
      </c>
      <c r="W121" s="56">
        <f t="shared" si="224"/>
        <v>221.4</v>
      </c>
      <c r="X121" s="141">
        <f t="shared" si="225"/>
        <v>17.033999999999999</v>
      </c>
      <c r="Y121" s="65">
        <f t="shared" si="226"/>
        <v>243.6</v>
      </c>
      <c r="Z121" s="65">
        <f t="shared" si="226"/>
        <v>303.39999999999998</v>
      </c>
      <c r="AA121" s="65">
        <f t="shared" si="226"/>
        <v>358.7</v>
      </c>
      <c r="AB121" s="65">
        <f t="shared" si="226"/>
        <v>325.5</v>
      </c>
      <c r="AC121" s="65">
        <f t="shared" si="226"/>
        <v>480.5</v>
      </c>
      <c r="AD121" s="65">
        <f t="shared" si="226"/>
        <v>664.3</v>
      </c>
      <c r="AE121" s="56">
        <f t="shared" si="227"/>
        <v>214.2</v>
      </c>
      <c r="AF121" s="55">
        <f>RCFs!$C$13</f>
        <v>16.48</v>
      </c>
      <c r="AG121" s="61">
        <f t="shared" si="228"/>
        <v>353.4</v>
      </c>
      <c r="AH121" s="61">
        <f t="shared" si="228"/>
        <v>449.8</v>
      </c>
      <c r="AI121" s="61">
        <f t="shared" si="229"/>
        <v>642.6</v>
      </c>
      <c r="AJ121" s="56">
        <f t="shared" si="230"/>
        <v>219.3</v>
      </c>
      <c r="AK121" s="141">
        <f>RCFs!$C$23</f>
        <v>16.876666666666669</v>
      </c>
      <c r="AL121" s="56">
        <f t="shared" si="231"/>
        <v>302.3</v>
      </c>
      <c r="AM121" s="141">
        <f>RCFs!$C$27</f>
        <v>23.256666666666668</v>
      </c>
      <c r="AN121" s="142">
        <f t="shared" si="232"/>
        <v>240.6</v>
      </c>
      <c r="AO121" s="141">
        <f>RCFs!$C$33</f>
        <v>18.513999999999999</v>
      </c>
      <c r="AP121" s="61">
        <f t="shared" si="233"/>
        <v>360.9</v>
      </c>
      <c r="AQ121" s="142">
        <f t="shared" si="234"/>
        <v>224.9</v>
      </c>
      <c r="AR121" s="141">
        <f>RCFs!$C$35</f>
        <v>17.306666666666668</v>
      </c>
      <c r="AS121" s="61">
        <f t="shared" si="235"/>
        <v>292.3</v>
      </c>
      <c r="AT121" s="61">
        <f t="shared" si="235"/>
        <v>326.10000000000002</v>
      </c>
      <c r="AU121" s="142">
        <f t="shared" si="236"/>
        <v>232.1</v>
      </c>
      <c r="AV121" s="141">
        <f>RCFs!$C$37</f>
        <v>17.86</v>
      </c>
      <c r="AW121" s="142">
        <f t="shared" si="237"/>
        <v>234.9</v>
      </c>
      <c r="AX121" s="141">
        <f>RCFs!$C$64</f>
        <v>18.07</v>
      </c>
      <c r="AY121" s="142">
        <f t="shared" si="236"/>
        <v>238.2</v>
      </c>
      <c r="AZ121" s="141">
        <f>RCFs!$C$39</f>
        <v>18.323333333333334</v>
      </c>
      <c r="BA121" s="141">
        <f t="shared" ref="BA121" si="243">ROUNDDOWN(BB121*$C121,1)</f>
        <v>228.5</v>
      </c>
      <c r="BB121" s="141">
        <f>RCFs!$C$41</f>
        <v>17.579000000000001</v>
      </c>
      <c r="BC121" s="84"/>
      <c r="BD121" s="84"/>
      <c r="BE121" s="84"/>
      <c r="BF121" s="84"/>
      <c r="BG121" s="84"/>
      <c r="BH121" s="84"/>
      <c r="BI121" s="84"/>
      <c r="BJ121" s="84"/>
      <c r="BK121" s="84"/>
      <c r="BL121" s="84"/>
      <c r="BM121" s="85"/>
      <c r="BN121" s="85"/>
      <c r="BO121" s="85"/>
      <c r="BP121" s="85"/>
      <c r="BQ121" s="85"/>
      <c r="BR121" s="85"/>
      <c r="BS121" s="85"/>
      <c r="BT121" s="85"/>
      <c r="BU121" s="85"/>
      <c r="BV121" s="85"/>
    </row>
    <row r="122" spans="1:74" x14ac:dyDescent="0.2">
      <c r="A122" s="107" t="s">
        <v>131</v>
      </c>
      <c r="B122" s="63" t="s">
        <v>105</v>
      </c>
      <c r="C122" s="64">
        <v>60</v>
      </c>
      <c r="D122" s="93">
        <f>ROUND(E122*AJ122,1)</f>
        <v>17800.5</v>
      </c>
      <c r="E122" s="173">
        <f>BB122</f>
        <v>17.579000000000001</v>
      </c>
      <c r="F122" s="56">
        <f t="shared" si="218"/>
        <v>1054.5999999999999</v>
      </c>
      <c r="G122" s="141">
        <f>RCFs!$C$5</f>
        <v>17.577000000000002</v>
      </c>
      <c r="H122" s="56">
        <f t="shared" si="219"/>
        <v>1054.5999999999999</v>
      </c>
      <c r="I122" s="141">
        <f>RCFs!$C$5</f>
        <v>17.577000000000002</v>
      </c>
      <c r="J122" s="65">
        <f t="shared" si="220"/>
        <v>1160.0999999999999</v>
      </c>
      <c r="K122" s="65">
        <f t="shared" si="220"/>
        <v>1444.8</v>
      </c>
      <c r="L122" s="65">
        <f t="shared" si="220"/>
        <v>1550.3</v>
      </c>
      <c r="M122" s="65">
        <f t="shared" si="220"/>
        <v>1708.5</v>
      </c>
      <c r="N122" s="65">
        <f t="shared" si="220"/>
        <v>2109.1999999999998</v>
      </c>
      <c r="O122" s="65">
        <f t="shared" si="220"/>
        <v>2267.4</v>
      </c>
      <c r="P122" s="65">
        <f t="shared" si="220"/>
        <v>3163.9</v>
      </c>
      <c r="Q122" s="56">
        <f t="shared" si="221"/>
        <v>1059.5999999999999</v>
      </c>
      <c r="R122" s="55">
        <f>RCFs!$C$7</f>
        <v>17.66</v>
      </c>
      <c r="S122" s="65">
        <f t="shared" si="222"/>
        <v>1377.4</v>
      </c>
      <c r="T122" s="65">
        <f t="shared" si="222"/>
        <v>1589.4</v>
      </c>
      <c r="U122" s="56">
        <f t="shared" si="223"/>
        <v>1022</v>
      </c>
      <c r="V122" s="55">
        <f>RCFs!$C$9</f>
        <v>17.033999999999999</v>
      </c>
      <c r="W122" s="56">
        <f t="shared" si="224"/>
        <v>1022</v>
      </c>
      <c r="X122" s="141">
        <f t="shared" si="225"/>
        <v>17.033999999999999</v>
      </c>
      <c r="Y122" s="65">
        <f t="shared" si="226"/>
        <v>1124.2</v>
      </c>
      <c r="Z122" s="65">
        <f t="shared" si="226"/>
        <v>1400.2</v>
      </c>
      <c r="AA122" s="65">
        <f t="shared" si="226"/>
        <v>1655.7</v>
      </c>
      <c r="AB122" s="65">
        <f t="shared" si="226"/>
        <v>1502.4</v>
      </c>
      <c r="AC122" s="65">
        <f t="shared" si="226"/>
        <v>2217.8000000000002</v>
      </c>
      <c r="AD122" s="65">
        <f t="shared" si="226"/>
        <v>3066.1</v>
      </c>
      <c r="AE122" s="56">
        <f t="shared" si="227"/>
        <v>988.8</v>
      </c>
      <c r="AF122" s="55">
        <f>RCFs!$C$13</f>
        <v>16.48</v>
      </c>
      <c r="AG122" s="61">
        <f t="shared" si="228"/>
        <v>1631.5</v>
      </c>
      <c r="AH122" s="61">
        <f t="shared" si="228"/>
        <v>2076.5</v>
      </c>
      <c r="AI122" s="61">
        <f t="shared" si="229"/>
        <v>2966.4</v>
      </c>
      <c r="AJ122" s="56">
        <f t="shared" si="230"/>
        <v>1012.6</v>
      </c>
      <c r="AK122" s="141">
        <f>RCFs!$C$23</f>
        <v>16.876666666666669</v>
      </c>
      <c r="AL122" s="56">
        <f t="shared" si="231"/>
        <v>1395.4</v>
      </c>
      <c r="AM122" s="141">
        <f>RCFs!$C$27</f>
        <v>23.256666666666668</v>
      </c>
      <c r="AN122" s="142">
        <f t="shared" si="232"/>
        <v>1110.8</v>
      </c>
      <c r="AO122" s="141">
        <f>RCFs!$C$33</f>
        <v>18.513999999999999</v>
      </c>
      <c r="AP122" s="61">
        <f t="shared" si="233"/>
        <v>1666.2</v>
      </c>
      <c r="AQ122" s="142">
        <f t="shared" si="234"/>
        <v>1038.4000000000001</v>
      </c>
      <c r="AR122" s="141">
        <f>RCFs!$C$35</f>
        <v>17.306666666666668</v>
      </c>
      <c r="AS122" s="61">
        <f t="shared" si="235"/>
        <v>1349.9</v>
      </c>
      <c r="AT122" s="61">
        <f t="shared" si="235"/>
        <v>1505.6</v>
      </c>
      <c r="AU122" s="142">
        <f t="shared" si="236"/>
        <v>1071.5999999999999</v>
      </c>
      <c r="AV122" s="141">
        <f>RCFs!$C$37</f>
        <v>17.86</v>
      </c>
      <c r="AW122" s="142">
        <f t="shared" si="237"/>
        <v>1084.2</v>
      </c>
      <c r="AX122" s="141">
        <f>RCFs!$C$64</f>
        <v>18.07</v>
      </c>
      <c r="AY122" s="142">
        <f t="shared" si="236"/>
        <v>1099.4000000000001</v>
      </c>
      <c r="AZ122" s="141">
        <f>RCFs!$C$39</f>
        <v>18.323333333333334</v>
      </c>
      <c r="BA122" s="141">
        <f t="shared" ref="BA122" si="244">ROUNDDOWN(BB122*$C122,1)</f>
        <v>1054.7</v>
      </c>
      <c r="BB122" s="141">
        <f>RCFs!$C$41</f>
        <v>17.579000000000001</v>
      </c>
    </row>
    <row r="123" spans="1:74" x14ac:dyDescent="0.2">
      <c r="A123" s="106" t="s">
        <v>132</v>
      </c>
      <c r="B123" s="63" t="s">
        <v>74</v>
      </c>
      <c r="C123" s="64">
        <v>18</v>
      </c>
      <c r="D123" s="93">
        <f>ROUND(E123*AJ123,1)</f>
        <v>5338.7</v>
      </c>
      <c r="E123" s="173">
        <f>BB123</f>
        <v>17.579000000000001</v>
      </c>
      <c r="F123" s="56">
        <f t="shared" si="218"/>
        <v>316.39999999999998</v>
      </c>
      <c r="G123" s="141">
        <f>RCFs!$C$5</f>
        <v>17.577000000000002</v>
      </c>
      <c r="H123" s="56">
        <f t="shared" si="219"/>
        <v>316.39999999999998</v>
      </c>
      <c r="I123" s="141">
        <f>RCFs!$C$5</f>
        <v>17.577000000000002</v>
      </c>
      <c r="J123" s="65">
        <f t="shared" si="220"/>
        <v>348</v>
      </c>
      <c r="K123" s="65">
        <f t="shared" si="220"/>
        <v>433.4</v>
      </c>
      <c r="L123" s="65">
        <f t="shared" si="220"/>
        <v>465.1</v>
      </c>
      <c r="M123" s="65">
        <f t="shared" si="220"/>
        <v>512.5</v>
      </c>
      <c r="N123" s="65">
        <f t="shared" si="220"/>
        <v>632.79999999999995</v>
      </c>
      <c r="O123" s="65">
        <f t="shared" si="220"/>
        <v>680.2</v>
      </c>
      <c r="P123" s="65">
        <f t="shared" si="220"/>
        <v>949.2</v>
      </c>
      <c r="Q123" s="56">
        <f t="shared" si="221"/>
        <v>317.89999999999998</v>
      </c>
      <c r="R123" s="55">
        <f>RCFs!$C$7</f>
        <v>17.66</v>
      </c>
      <c r="S123" s="65">
        <f t="shared" si="222"/>
        <v>413.2</v>
      </c>
      <c r="T123" s="65">
        <f t="shared" si="222"/>
        <v>476.8</v>
      </c>
      <c r="U123" s="56">
        <f t="shared" si="223"/>
        <v>306.60000000000002</v>
      </c>
      <c r="V123" s="55">
        <f>RCFs!$C$9</f>
        <v>17.033999999999999</v>
      </c>
      <c r="W123" s="56">
        <f t="shared" si="224"/>
        <v>306.60000000000002</v>
      </c>
      <c r="X123" s="141">
        <f t="shared" si="225"/>
        <v>17.033999999999999</v>
      </c>
      <c r="Y123" s="65">
        <f t="shared" si="226"/>
        <v>337.3</v>
      </c>
      <c r="Z123" s="65">
        <f t="shared" si="226"/>
        <v>420.1</v>
      </c>
      <c r="AA123" s="65">
        <f t="shared" si="226"/>
        <v>496.7</v>
      </c>
      <c r="AB123" s="65">
        <f t="shared" si="226"/>
        <v>450.7</v>
      </c>
      <c r="AC123" s="65">
        <f t="shared" si="226"/>
        <v>665.3</v>
      </c>
      <c r="AD123" s="65">
        <f t="shared" si="226"/>
        <v>919.8</v>
      </c>
      <c r="AE123" s="56">
        <f t="shared" si="227"/>
        <v>296.60000000000002</v>
      </c>
      <c r="AF123" s="55">
        <f>RCFs!$C$13</f>
        <v>16.48</v>
      </c>
      <c r="AG123" s="61">
        <f t="shared" si="228"/>
        <v>489.4</v>
      </c>
      <c r="AH123" s="61">
        <f t="shared" si="228"/>
        <v>622.9</v>
      </c>
      <c r="AI123" s="61">
        <f t="shared" si="229"/>
        <v>889.8</v>
      </c>
      <c r="AJ123" s="56">
        <f t="shared" si="230"/>
        <v>303.7</v>
      </c>
      <c r="AK123" s="141">
        <f>RCFs!$C$23</f>
        <v>16.876666666666669</v>
      </c>
      <c r="AL123" s="56">
        <f t="shared" si="231"/>
        <v>418.6</v>
      </c>
      <c r="AM123" s="141">
        <f>RCFs!$C$27</f>
        <v>23.256666666666668</v>
      </c>
      <c r="AN123" s="142">
        <f t="shared" si="232"/>
        <v>333.2</v>
      </c>
      <c r="AO123" s="141">
        <f>RCFs!$C$33</f>
        <v>18.513999999999999</v>
      </c>
      <c r="AP123" s="61">
        <f t="shared" si="233"/>
        <v>499.8</v>
      </c>
      <c r="AQ123" s="142">
        <f t="shared" si="234"/>
        <v>311.5</v>
      </c>
      <c r="AR123" s="141">
        <f>RCFs!$C$35</f>
        <v>17.306666666666668</v>
      </c>
      <c r="AS123" s="61">
        <f t="shared" si="235"/>
        <v>404.9</v>
      </c>
      <c r="AT123" s="61">
        <f t="shared" si="235"/>
        <v>451.6</v>
      </c>
      <c r="AU123" s="142">
        <f t="shared" si="236"/>
        <v>321.39999999999998</v>
      </c>
      <c r="AV123" s="141">
        <f>RCFs!$C$37</f>
        <v>17.86</v>
      </c>
      <c r="AW123" s="142">
        <f t="shared" si="237"/>
        <v>325.2</v>
      </c>
      <c r="AX123" s="141">
        <f>RCFs!$C$64</f>
        <v>18.07</v>
      </c>
      <c r="AY123" s="142">
        <f t="shared" si="236"/>
        <v>329.8</v>
      </c>
      <c r="AZ123" s="141">
        <f>RCFs!$C$39</f>
        <v>18.323333333333334</v>
      </c>
      <c r="BA123" s="141">
        <f t="shared" ref="BA123" si="245">ROUNDDOWN(BB123*$C123,1)</f>
        <v>316.39999999999998</v>
      </c>
      <c r="BB123" s="141">
        <f>RCFs!$C$41</f>
        <v>17.579000000000001</v>
      </c>
    </row>
    <row r="124" spans="1:74" x14ac:dyDescent="0.2">
      <c r="A124" s="88">
        <v>1247</v>
      </c>
      <c r="B124" s="63" t="s">
        <v>106</v>
      </c>
      <c r="C124" s="64">
        <v>65</v>
      </c>
      <c r="D124" s="56">
        <f t="shared" ref="D124:D132" si="246">ROUND(E124*C124,1)</f>
        <v>4429.2</v>
      </c>
      <c r="E124" s="141">
        <f>RCFs!$C$43</f>
        <v>68.141894999999991</v>
      </c>
      <c r="F124" s="56">
        <f t="shared" si="218"/>
        <v>1142.5</v>
      </c>
      <c r="G124" s="141">
        <f>RCFs!$C$5</f>
        <v>17.577000000000002</v>
      </c>
      <c r="H124" s="56">
        <f t="shared" si="219"/>
        <v>1142.5</v>
      </c>
      <c r="I124" s="141">
        <f>RCFs!$C$5</f>
        <v>17.577000000000002</v>
      </c>
      <c r="J124" s="65">
        <f t="shared" si="220"/>
        <v>1256.8</v>
      </c>
      <c r="K124" s="65">
        <f t="shared" si="220"/>
        <v>1565.2</v>
      </c>
      <c r="L124" s="65">
        <f t="shared" si="220"/>
        <v>1679.5</v>
      </c>
      <c r="M124" s="65">
        <f t="shared" si="220"/>
        <v>1850.9</v>
      </c>
      <c r="N124" s="65">
        <f t="shared" si="220"/>
        <v>2285</v>
      </c>
      <c r="O124" s="65">
        <f t="shared" si="220"/>
        <v>2456.4</v>
      </c>
      <c r="P124" s="65">
        <f t="shared" si="220"/>
        <v>3427.5</v>
      </c>
      <c r="Q124" s="56">
        <f t="shared" si="221"/>
        <v>1147.9000000000001</v>
      </c>
      <c r="R124" s="55">
        <f>RCFs!$C$7</f>
        <v>17.66</v>
      </c>
      <c r="S124" s="65">
        <f t="shared" si="222"/>
        <v>1492.2</v>
      </c>
      <c r="T124" s="65">
        <f t="shared" si="222"/>
        <v>1721.8</v>
      </c>
      <c r="U124" s="56">
        <f t="shared" si="223"/>
        <v>1107.2</v>
      </c>
      <c r="V124" s="55">
        <f>RCFs!$C$9</f>
        <v>17.033999999999999</v>
      </c>
      <c r="W124" s="56">
        <f t="shared" si="224"/>
        <v>1107.2</v>
      </c>
      <c r="X124" s="141">
        <f t="shared" si="225"/>
        <v>17.033999999999999</v>
      </c>
      <c r="Y124" s="65">
        <f t="shared" si="226"/>
        <v>1217.9000000000001</v>
      </c>
      <c r="Z124" s="65">
        <f t="shared" si="226"/>
        <v>1516.9</v>
      </c>
      <c r="AA124" s="65">
        <f t="shared" si="226"/>
        <v>1793.7</v>
      </c>
      <c r="AB124" s="65">
        <f t="shared" si="226"/>
        <v>1627.6</v>
      </c>
      <c r="AC124" s="65">
        <f t="shared" si="226"/>
        <v>2402.6</v>
      </c>
      <c r="AD124" s="65">
        <f t="shared" si="226"/>
        <v>3321.6</v>
      </c>
      <c r="AE124" s="56">
        <f t="shared" si="227"/>
        <v>1071.2</v>
      </c>
      <c r="AF124" s="55">
        <f>RCFs!$C$13</f>
        <v>16.48</v>
      </c>
      <c r="AG124" s="61">
        <f t="shared" si="228"/>
        <v>1767.5</v>
      </c>
      <c r="AH124" s="61">
        <f t="shared" si="228"/>
        <v>2249.5</v>
      </c>
      <c r="AI124" s="61">
        <f t="shared" si="229"/>
        <v>3213.6</v>
      </c>
      <c r="AJ124" s="56">
        <f t="shared" si="230"/>
        <v>1096.9000000000001</v>
      </c>
      <c r="AK124" s="141">
        <f>RCFs!$C$23</f>
        <v>16.876666666666669</v>
      </c>
      <c r="AL124" s="56">
        <f t="shared" si="231"/>
        <v>1511.7</v>
      </c>
      <c r="AM124" s="141">
        <f>RCFs!$C$27</f>
        <v>23.256666666666668</v>
      </c>
      <c r="AN124" s="142">
        <f t="shared" si="232"/>
        <v>1203.4000000000001</v>
      </c>
      <c r="AO124" s="141">
        <f>RCFs!$C$33</f>
        <v>18.513999999999999</v>
      </c>
      <c r="AP124" s="61">
        <f t="shared" si="233"/>
        <v>1805.1</v>
      </c>
      <c r="AQ124" s="142">
        <f t="shared" si="234"/>
        <v>1124.9000000000001</v>
      </c>
      <c r="AR124" s="141">
        <f>RCFs!$C$35</f>
        <v>17.306666666666668</v>
      </c>
      <c r="AS124" s="61">
        <f t="shared" si="235"/>
        <v>1462.3</v>
      </c>
      <c r="AT124" s="61">
        <f t="shared" si="235"/>
        <v>1631.1</v>
      </c>
      <c r="AU124" s="142">
        <f t="shared" si="236"/>
        <v>1160.9000000000001</v>
      </c>
      <c r="AV124" s="141">
        <f>RCFs!$C$37</f>
        <v>17.86</v>
      </c>
      <c r="AW124" s="142">
        <f t="shared" si="237"/>
        <v>1174.5</v>
      </c>
      <c r="AX124" s="141">
        <f>RCFs!$C$64</f>
        <v>18.07</v>
      </c>
      <c r="AY124" s="142">
        <f t="shared" si="236"/>
        <v>1191</v>
      </c>
      <c r="AZ124" s="141">
        <f>RCFs!$C$39</f>
        <v>18.323333333333334</v>
      </c>
      <c r="BA124" s="141">
        <f t="shared" ref="BA124" si="247">ROUNDDOWN(BB124*$C124,1)</f>
        <v>1142.5999999999999</v>
      </c>
      <c r="BB124" s="141">
        <f>RCFs!$C$41</f>
        <v>17.579000000000001</v>
      </c>
    </row>
    <row r="125" spans="1:74" x14ac:dyDescent="0.2">
      <c r="A125" s="88">
        <v>1248</v>
      </c>
      <c r="B125" s="63" t="s">
        <v>107</v>
      </c>
      <c r="C125" s="64">
        <v>50</v>
      </c>
      <c r="D125" s="56">
        <f t="shared" si="246"/>
        <v>3407.1</v>
      </c>
      <c r="E125" s="141">
        <f>RCFs!$C$43</f>
        <v>68.141894999999991</v>
      </c>
      <c r="F125" s="56">
        <f t="shared" si="218"/>
        <v>878.9</v>
      </c>
      <c r="G125" s="141">
        <f>RCFs!$C$5</f>
        <v>17.577000000000002</v>
      </c>
      <c r="H125" s="56">
        <f t="shared" si="219"/>
        <v>878.9</v>
      </c>
      <c r="I125" s="141">
        <f>RCFs!$C$5</f>
        <v>17.577000000000002</v>
      </c>
      <c r="J125" s="65">
        <f t="shared" si="220"/>
        <v>966.7</v>
      </c>
      <c r="K125" s="65">
        <f t="shared" si="220"/>
        <v>1204</v>
      </c>
      <c r="L125" s="65">
        <f t="shared" si="220"/>
        <v>1291.9000000000001</v>
      </c>
      <c r="M125" s="65">
        <f t="shared" si="220"/>
        <v>1423.7</v>
      </c>
      <c r="N125" s="65">
        <f t="shared" si="220"/>
        <v>1757.7</v>
      </c>
      <c r="O125" s="65">
        <f t="shared" si="220"/>
        <v>1889.5</v>
      </c>
      <c r="P125" s="65">
        <f t="shared" si="220"/>
        <v>2636.6</v>
      </c>
      <c r="Q125" s="56">
        <f t="shared" si="221"/>
        <v>883</v>
      </c>
      <c r="R125" s="55">
        <f>RCFs!$C$7</f>
        <v>17.66</v>
      </c>
      <c r="S125" s="65">
        <f t="shared" si="222"/>
        <v>1147.9000000000001</v>
      </c>
      <c r="T125" s="65">
        <f t="shared" si="222"/>
        <v>1324.5</v>
      </c>
      <c r="U125" s="56">
        <f t="shared" si="223"/>
        <v>851.7</v>
      </c>
      <c r="V125" s="55">
        <f>RCFs!$C$9</f>
        <v>17.033999999999999</v>
      </c>
      <c r="W125" s="56">
        <f t="shared" si="224"/>
        <v>851.7</v>
      </c>
      <c r="X125" s="141">
        <f t="shared" si="225"/>
        <v>17.033999999999999</v>
      </c>
      <c r="Y125" s="65">
        <f t="shared" si="226"/>
        <v>936.9</v>
      </c>
      <c r="Z125" s="65">
        <f t="shared" si="226"/>
        <v>1166.8</v>
      </c>
      <c r="AA125" s="65">
        <f t="shared" si="226"/>
        <v>1379.8</v>
      </c>
      <c r="AB125" s="65">
        <f t="shared" si="226"/>
        <v>1252</v>
      </c>
      <c r="AC125" s="65">
        <f t="shared" si="226"/>
        <v>1848.2</v>
      </c>
      <c r="AD125" s="65">
        <f t="shared" si="226"/>
        <v>2555.1</v>
      </c>
      <c r="AE125" s="56">
        <f t="shared" si="227"/>
        <v>824</v>
      </c>
      <c r="AF125" s="55">
        <f>RCFs!$C$13</f>
        <v>16.48</v>
      </c>
      <c r="AG125" s="61">
        <f t="shared" si="228"/>
        <v>1359.6</v>
      </c>
      <c r="AH125" s="61">
        <f t="shared" si="228"/>
        <v>1730.4</v>
      </c>
      <c r="AI125" s="61">
        <f t="shared" si="229"/>
        <v>2472</v>
      </c>
      <c r="AJ125" s="56">
        <f t="shared" si="230"/>
        <v>843.8</v>
      </c>
      <c r="AK125" s="141">
        <f>RCFs!$C$23</f>
        <v>16.876666666666669</v>
      </c>
      <c r="AL125" s="56">
        <f t="shared" si="231"/>
        <v>1162.8</v>
      </c>
      <c r="AM125" s="141">
        <f>RCFs!$C$27</f>
        <v>23.256666666666668</v>
      </c>
      <c r="AN125" s="142">
        <f t="shared" si="232"/>
        <v>925.7</v>
      </c>
      <c r="AO125" s="141">
        <f>RCFs!$C$33</f>
        <v>18.513999999999999</v>
      </c>
      <c r="AP125" s="61">
        <f t="shared" si="233"/>
        <v>1388.5</v>
      </c>
      <c r="AQ125" s="142">
        <f t="shared" si="234"/>
        <v>865.3</v>
      </c>
      <c r="AR125" s="141">
        <f>RCFs!$C$35</f>
        <v>17.306666666666668</v>
      </c>
      <c r="AS125" s="61">
        <f t="shared" si="235"/>
        <v>1124.8</v>
      </c>
      <c r="AT125" s="61">
        <f t="shared" si="235"/>
        <v>1254.5999999999999</v>
      </c>
      <c r="AU125" s="142">
        <f t="shared" si="236"/>
        <v>893</v>
      </c>
      <c r="AV125" s="141">
        <f>RCFs!$C$37</f>
        <v>17.86</v>
      </c>
      <c r="AW125" s="142">
        <f t="shared" si="237"/>
        <v>903.5</v>
      </c>
      <c r="AX125" s="141">
        <f>RCFs!$C$64</f>
        <v>18.07</v>
      </c>
      <c r="AY125" s="142">
        <f t="shared" si="236"/>
        <v>916.1</v>
      </c>
      <c r="AZ125" s="141">
        <f>RCFs!$C$39</f>
        <v>18.323333333333334</v>
      </c>
      <c r="BA125" s="141">
        <f t="shared" ref="BA125" si="248">ROUNDDOWN(BB125*$C125,1)</f>
        <v>878.9</v>
      </c>
      <c r="BB125" s="141">
        <f>RCFs!$C$41</f>
        <v>17.579000000000001</v>
      </c>
    </row>
    <row r="126" spans="1:74" x14ac:dyDescent="0.2">
      <c r="A126" s="88">
        <v>1250</v>
      </c>
      <c r="B126" s="63" t="s">
        <v>108</v>
      </c>
      <c r="C126" s="64">
        <v>70</v>
      </c>
      <c r="D126" s="56">
        <f t="shared" si="246"/>
        <v>4769.8999999999996</v>
      </c>
      <c r="E126" s="141">
        <f>RCFs!$C$43</f>
        <v>68.141894999999991</v>
      </c>
      <c r="F126" s="56">
        <f t="shared" si="218"/>
        <v>1230.4000000000001</v>
      </c>
      <c r="G126" s="141">
        <f>RCFs!$C$5</f>
        <v>17.577000000000002</v>
      </c>
      <c r="H126" s="56">
        <f t="shared" si="219"/>
        <v>1230.4000000000001</v>
      </c>
      <c r="I126" s="141">
        <f>RCFs!$C$5</f>
        <v>17.577000000000002</v>
      </c>
      <c r="J126" s="65">
        <f t="shared" ref="J126:P140" si="249">ROUND($C126*$I126*J$6,1)</f>
        <v>1353.4</v>
      </c>
      <c r="K126" s="65">
        <f t="shared" si="249"/>
        <v>1685.6</v>
      </c>
      <c r="L126" s="65">
        <f t="shared" si="249"/>
        <v>1808.7</v>
      </c>
      <c r="M126" s="65">
        <f t="shared" si="249"/>
        <v>1993.2</v>
      </c>
      <c r="N126" s="65">
        <f t="shared" si="249"/>
        <v>2460.8000000000002</v>
      </c>
      <c r="O126" s="65">
        <f t="shared" si="249"/>
        <v>2645.3</v>
      </c>
      <c r="P126" s="65">
        <f t="shared" si="249"/>
        <v>3691.2</v>
      </c>
      <c r="Q126" s="56">
        <f t="shared" si="221"/>
        <v>1236.2</v>
      </c>
      <c r="R126" s="55">
        <f>RCFs!$C$7</f>
        <v>17.66</v>
      </c>
      <c r="S126" s="65">
        <f t="shared" si="222"/>
        <v>1607</v>
      </c>
      <c r="T126" s="65">
        <f t="shared" si="222"/>
        <v>1854.3</v>
      </c>
      <c r="U126" s="56">
        <f t="shared" si="223"/>
        <v>1192.3</v>
      </c>
      <c r="V126" s="55">
        <f>RCFs!$C$9</f>
        <v>17.033999999999999</v>
      </c>
      <c r="W126" s="56">
        <f t="shared" si="224"/>
        <v>1192.4000000000001</v>
      </c>
      <c r="X126" s="141">
        <f t="shared" si="225"/>
        <v>17.033999999999999</v>
      </c>
      <c r="Y126" s="65">
        <f t="shared" ref="Y126:AD140" si="250">ROUND($C126*$X126*Y$6,1)</f>
        <v>1311.6</v>
      </c>
      <c r="Z126" s="65">
        <f t="shared" si="250"/>
        <v>1633.6</v>
      </c>
      <c r="AA126" s="65">
        <f t="shared" si="250"/>
        <v>1931.7</v>
      </c>
      <c r="AB126" s="65">
        <f t="shared" si="250"/>
        <v>1752.8</v>
      </c>
      <c r="AC126" s="65">
        <f t="shared" si="250"/>
        <v>2587.5</v>
      </c>
      <c r="AD126" s="65">
        <f t="shared" si="250"/>
        <v>3577.1</v>
      </c>
      <c r="AE126" s="56">
        <f t="shared" si="227"/>
        <v>1153.5999999999999</v>
      </c>
      <c r="AF126" s="55">
        <f>RCFs!$C$13</f>
        <v>16.48</v>
      </c>
      <c r="AG126" s="61">
        <f t="shared" si="228"/>
        <v>1903.4</v>
      </c>
      <c r="AH126" s="61">
        <f t="shared" si="228"/>
        <v>2422.6</v>
      </c>
      <c r="AI126" s="61">
        <f t="shared" si="229"/>
        <v>3460.8</v>
      </c>
      <c r="AJ126" s="56">
        <f t="shared" si="230"/>
        <v>1181.3</v>
      </c>
      <c r="AK126" s="141">
        <f>RCFs!$C$23</f>
        <v>16.876666666666669</v>
      </c>
      <c r="AL126" s="56">
        <f t="shared" si="231"/>
        <v>1628</v>
      </c>
      <c r="AM126" s="141">
        <f>RCFs!$C$27</f>
        <v>23.256666666666668</v>
      </c>
      <c r="AN126" s="142">
        <f t="shared" si="232"/>
        <v>1295.9000000000001</v>
      </c>
      <c r="AO126" s="141">
        <f>RCFs!$C$33</f>
        <v>18.513999999999999</v>
      </c>
      <c r="AP126" s="61">
        <f t="shared" si="233"/>
        <v>1943.8</v>
      </c>
      <c r="AQ126" s="142">
        <f t="shared" si="234"/>
        <v>1211.4000000000001</v>
      </c>
      <c r="AR126" s="141">
        <f>RCFs!$C$35</f>
        <v>17.306666666666668</v>
      </c>
      <c r="AS126" s="61">
        <f t="shared" si="235"/>
        <v>1574.8</v>
      </c>
      <c r="AT126" s="61">
        <f t="shared" si="235"/>
        <v>1756.5</v>
      </c>
      <c r="AU126" s="142">
        <f t="shared" si="236"/>
        <v>1250.2</v>
      </c>
      <c r="AV126" s="141">
        <f>RCFs!$C$37</f>
        <v>17.86</v>
      </c>
      <c r="AW126" s="142">
        <f t="shared" si="237"/>
        <v>1264.9000000000001</v>
      </c>
      <c r="AX126" s="141">
        <f>RCFs!$C$64</f>
        <v>18.07</v>
      </c>
      <c r="AY126" s="142">
        <f t="shared" si="236"/>
        <v>1282.5999999999999</v>
      </c>
      <c r="AZ126" s="141">
        <f>RCFs!$C$39</f>
        <v>18.323333333333334</v>
      </c>
      <c r="BA126" s="141">
        <f t="shared" ref="BA126" si="251">ROUNDDOWN(BB126*$C126,1)</f>
        <v>1230.5</v>
      </c>
      <c r="BB126" s="141">
        <f>RCFs!$C$41</f>
        <v>17.579000000000001</v>
      </c>
    </row>
    <row r="127" spans="1:74" ht="12" customHeight="1" x14ac:dyDescent="0.2">
      <c r="A127" s="88">
        <v>1288</v>
      </c>
      <c r="B127" s="63" t="s">
        <v>109</v>
      </c>
      <c r="C127" s="64">
        <v>210</v>
      </c>
      <c r="D127" s="56">
        <f t="shared" si="246"/>
        <v>14309.8</v>
      </c>
      <c r="E127" s="141">
        <f>RCFs!$C$43</f>
        <v>68.141894999999991</v>
      </c>
      <c r="F127" s="56">
        <f t="shared" si="218"/>
        <v>3691.2</v>
      </c>
      <c r="G127" s="141">
        <f>RCFs!$C$5</f>
        <v>17.577000000000002</v>
      </c>
      <c r="H127" s="56">
        <f t="shared" si="219"/>
        <v>3691.2</v>
      </c>
      <c r="I127" s="141">
        <f>RCFs!$C$5</f>
        <v>17.577000000000002</v>
      </c>
      <c r="J127" s="65">
        <f t="shared" si="249"/>
        <v>4060.3</v>
      </c>
      <c r="K127" s="65">
        <f t="shared" si="249"/>
        <v>5056.8999999999996</v>
      </c>
      <c r="L127" s="65">
        <f t="shared" si="249"/>
        <v>5426</v>
      </c>
      <c r="M127" s="65">
        <f t="shared" si="249"/>
        <v>5979.7</v>
      </c>
      <c r="N127" s="65">
        <f t="shared" si="249"/>
        <v>7382.3</v>
      </c>
      <c r="O127" s="65">
        <f t="shared" si="249"/>
        <v>7936</v>
      </c>
      <c r="P127" s="65">
        <f t="shared" si="249"/>
        <v>11073.5</v>
      </c>
      <c r="Q127" s="56">
        <f t="shared" si="221"/>
        <v>3708.6</v>
      </c>
      <c r="R127" s="55">
        <f>RCFs!$C$7</f>
        <v>17.66</v>
      </c>
      <c r="S127" s="65">
        <f t="shared" si="222"/>
        <v>4821.1000000000004</v>
      </c>
      <c r="T127" s="65">
        <f t="shared" si="222"/>
        <v>5562.9</v>
      </c>
      <c r="U127" s="56">
        <f t="shared" si="223"/>
        <v>3577.1</v>
      </c>
      <c r="V127" s="55">
        <f>RCFs!$C$9</f>
        <v>17.033999999999999</v>
      </c>
      <c r="W127" s="56">
        <f t="shared" si="224"/>
        <v>3577.1</v>
      </c>
      <c r="X127" s="141">
        <f t="shared" si="225"/>
        <v>17.033999999999999</v>
      </c>
      <c r="Y127" s="65">
        <f t="shared" si="250"/>
        <v>3934.9</v>
      </c>
      <c r="Z127" s="65">
        <f t="shared" si="250"/>
        <v>4900.7</v>
      </c>
      <c r="AA127" s="65">
        <f t="shared" si="250"/>
        <v>5795</v>
      </c>
      <c r="AB127" s="65">
        <f t="shared" si="250"/>
        <v>5258.4</v>
      </c>
      <c r="AC127" s="65">
        <f t="shared" si="250"/>
        <v>7762.4</v>
      </c>
      <c r="AD127" s="65">
        <f t="shared" si="250"/>
        <v>10731.4</v>
      </c>
      <c r="AE127" s="56">
        <f t="shared" si="227"/>
        <v>3460.8</v>
      </c>
      <c r="AF127" s="55">
        <f>RCFs!$C$13</f>
        <v>16.48</v>
      </c>
      <c r="AG127" s="61">
        <f t="shared" si="228"/>
        <v>5710.3</v>
      </c>
      <c r="AH127" s="61">
        <f t="shared" si="228"/>
        <v>7267.7</v>
      </c>
      <c r="AI127" s="61">
        <f t="shared" si="229"/>
        <v>10382.4</v>
      </c>
      <c r="AJ127" s="56">
        <f t="shared" si="230"/>
        <v>3544.1</v>
      </c>
      <c r="AK127" s="141">
        <f>RCFs!$C$23</f>
        <v>16.876666666666669</v>
      </c>
      <c r="AL127" s="56">
        <f t="shared" si="231"/>
        <v>4883.8999999999996</v>
      </c>
      <c r="AM127" s="141">
        <f>RCFs!$C$27</f>
        <v>23.256666666666668</v>
      </c>
      <c r="AN127" s="142">
        <f t="shared" si="232"/>
        <v>3887.9</v>
      </c>
      <c r="AO127" s="141">
        <f>RCFs!$C$33</f>
        <v>18.513999999999999</v>
      </c>
      <c r="AP127" s="61">
        <f t="shared" si="233"/>
        <v>5831.8</v>
      </c>
      <c r="AQ127" s="142">
        <f t="shared" si="234"/>
        <v>3634.4</v>
      </c>
      <c r="AR127" s="141">
        <f>RCFs!$C$35</f>
        <v>17.306666666666668</v>
      </c>
      <c r="AS127" s="61">
        <f t="shared" si="235"/>
        <v>4724.7</v>
      </c>
      <c r="AT127" s="61">
        <f t="shared" si="235"/>
        <v>5269.8</v>
      </c>
      <c r="AU127" s="142">
        <f t="shared" si="236"/>
        <v>3750.6</v>
      </c>
      <c r="AV127" s="141">
        <f>RCFs!$C$37</f>
        <v>17.86</v>
      </c>
      <c r="AW127" s="142">
        <f t="shared" si="237"/>
        <v>3794.7</v>
      </c>
      <c r="AX127" s="141">
        <f>RCFs!$C$64</f>
        <v>18.07</v>
      </c>
      <c r="AY127" s="142">
        <f t="shared" si="236"/>
        <v>3847.9</v>
      </c>
      <c r="AZ127" s="141">
        <f>RCFs!$C$39</f>
        <v>18.323333333333334</v>
      </c>
      <c r="BA127" s="141">
        <f t="shared" ref="BA127:BA128" si="252">ROUNDDOWN(BB127*$C127,1)</f>
        <v>3691.5</v>
      </c>
      <c r="BB127" s="141">
        <f>RCFs!$C$41</f>
        <v>17.579000000000001</v>
      </c>
    </row>
    <row r="128" spans="1:74" ht="13.5" customHeight="1" x14ac:dyDescent="0.2">
      <c r="A128" s="88">
        <v>1289</v>
      </c>
      <c r="B128" s="63" t="s">
        <v>110</v>
      </c>
      <c r="C128" s="64">
        <v>263</v>
      </c>
      <c r="D128" s="56">
        <f t="shared" ref="D128" si="253">ROUND(E128*C128,1)</f>
        <v>17921.3</v>
      </c>
      <c r="E128" s="141">
        <f>RCFs!$C$43</f>
        <v>68.141894999999991</v>
      </c>
      <c r="F128" s="56">
        <f t="shared" ref="F128" si="254">ROUND(G128*C128,1)</f>
        <v>4622.8</v>
      </c>
      <c r="G128" s="141">
        <f>RCFs!$C$5</f>
        <v>17.577000000000002</v>
      </c>
      <c r="H128" s="56">
        <f t="shared" ref="H128" si="255">ROUND(I128*C128,1)</f>
        <v>4622.8</v>
      </c>
      <c r="I128" s="141">
        <f>RCFs!$C$5</f>
        <v>17.577000000000002</v>
      </c>
      <c r="J128" s="65">
        <f t="shared" si="249"/>
        <v>5085</v>
      </c>
      <c r="K128" s="65">
        <f t="shared" si="249"/>
        <v>6333.2</v>
      </c>
      <c r="L128" s="65">
        <f t="shared" si="249"/>
        <v>6795.4</v>
      </c>
      <c r="M128" s="65">
        <f t="shared" si="249"/>
        <v>7488.9</v>
      </c>
      <c r="N128" s="65">
        <f t="shared" si="249"/>
        <v>9245.5</v>
      </c>
      <c r="O128" s="65">
        <f t="shared" si="249"/>
        <v>9938.9</v>
      </c>
      <c r="P128" s="65">
        <f t="shared" si="249"/>
        <v>13868.3</v>
      </c>
      <c r="Q128" s="56">
        <f t="shared" ref="Q128" si="256">ROUND(R128*C128,1)</f>
        <v>4644.6000000000004</v>
      </c>
      <c r="R128" s="55">
        <f>RCFs!$C$7</f>
        <v>17.66</v>
      </c>
      <c r="S128" s="65">
        <f t="shared" si="222"/>
        <v>6037.9</v>
      </c>
      <c r="T128" s="65">
        <f t="shared" si="222"/>
        <v>6966.9</v>
      </c>
      <c r="U128" s="56">
        <f t="shared" ref="U128" si="257">ROUNDDOWN(C128*V128,1)</f>
        <v>4479.8999999999996</v>
      </c>
      <c r="V128" s="55">
        <f>RCFs!$C$9</f>
        <v>17.033999999999999</v>
      </c>
      <c r="W128" s="56">
        <f t="shared" ref="W128" si="258">ROUND(X128*C128,1)</f>
        <v>4479.8999999999996</v>
      </c>
      <c r="X128" s="141">
        <f t="shared" ref="X128" si="259">V128</f>
        <v>17.033999999999999</v>
      </c>
      <c r="Y128" s="65">
        <f t="shared" si="250"/>
        <v>4927.8999999999996</v>
      </c>
      <c r="Z128" s="65">
        <f t="shared" si="250"/>
        <v>6137.5</v>
      </c>
      <c r="AA128" s="65">
        <f t="shared" si="250"/>
        <v>7257.5</v>
      </c>
      <c r="AB128" s="65">
        <f t="shared" si="250"/>
        <v>6585.5</v>
      </c>
      <c r="AC128" s="65">
        <f t="shared" si="250"/>
        <v>9721.5</v>
      </c>
      <c r="AD128" s="65">
        <f t="shared" si="250"/>
        <v>13439.8</v>
      </c>
      <c r="AE128" s="56">
        <f t="shared" ref="AE128" si="260">ROUND(AF128*C128,1)</f>
        <v>4334.2</v>
      </c>
      <c r="AF128" s="55">
        <f>RCFs!$C$13</f>
        <v>16.48</v>
      </c>
      <c r="AG128" s="61">
        <f t="shared" si="228"/>
        <v>7151.4</v>
      </c>
      <c r="AH128" s="61">
        <f t="shared" si="228"/>
        <v>9101.7999999999993</v>
      </c>
      <c r="AI128" s="61">
        <f t="shared" si="229"/>
        <v>13002.6</v>
      </c>
      <c r="AJ128" s="56">
        <f t="shared" ref="AJ128" si="261">ROUNDDOWN(AK128*C128,1)</f>
        <v>4438.5</v>
      </c>
      <c r="AK128" s="141">
        <f>RCFs!$C$23</f>
        <v>16.876666666666669</v>
      </c>
      <c r="AL128" s="56">
        <f t="shared" ref="AL128" si="262">ROUND(AM128*C128,1)</f>
        <v>6116.5</v>
      </c>
      <c r="AM128" s="141">
        <f>RCFs!$C$27</f>
        <v>23.256666666666668</v>
      </c>
      <c r="AN128" s="142">
        <f t="shared" ref="AN128" si="263">ROUNDDOWN(AO128*C128,1)</f>
        <v>4869.1000000000004</v>
      </c>
      <c r="AO128" s="141">
        <f>RCFs!$C$33</f>
        <v>18.513999999999999</v>
      </c>
      <c r="AP128" s="61">
        <f t="shared" ref="AP128" si="264">ROUNDDOWN(AN128*$AP$6,1)</f>
        <v>7303.6</v>
      </c>
      <c r="AQ128" s="142">
        <f t="shared" ref="AQ128" si="265">ROUNDDOWN(AR128*C128,1)</f>
        <v>4551.6000000000004</v>
      </c>
      <c r="AR128" s="141">
        <f>RCFs!$C$35</f>
        <v>17.306666666666668</v>
      </c>
      <c r="AS128" s="61">
        <f t="shared" si="235"/>
        <v>5917</v>
      </c>
      <c r="AT128" s="61">
        <f t="shared" si="235"/>
        <v>6599.8</v>
      </c>
      <c r="AU128" s="142">
        <f t="shared" ref="AU128" si="266">ROUNDDOWN(AV128*$C128,1)</f>
        <v>4697.1000000000004</v>
      </c>
      <c r="AV128" s="141">
        <f>RCFs!$C$37</f>
        <v>17.86</v>
      </c>
      <c r="AW128" s="142">
        <f t="shared" si="237"/>
        <v>4752.3999999999996</v>
      </c>
      <c r="AX128" s="141">
        <f>RCFs!$C$64</f>
        <v>18.07</v>
      </c>
      <c r="AY128" s="142">
        <f t="shared" ref="AY128" si="267">ROUNDDOWN(AZ128*$C128,1)</f>
        <v>4819</v>
      </c>
      <c r="AZ128" s="141">
        <f>RCFs!$C$39</f>
        <v>18.323333333333334</v>
      </c>
      <c r="BA128" s="141">
        <f t="shared" si="252"/>
        <v>4623.2</v>
      </c>
      <c r="BB128" s="141">
        <f>RCFs!$C$41</f>
        <v>17.579000000000001</v>
      </c>
    </row>
    <row r="129" spans="1:74" x14ac:dyDescent="0.2">
      <c r="A129" s="88">
        <v>1366</v>
      </c>
      <c r="B129" s="63" t="s">
        <v>256</v>
      </c>
      <c r="C129" s="64">
        <v>26.3</v>
      </c>
      <c r="D129" s="56">
        <f t="shared" ref="D129" si="268">ROUND(E129*C129,1)</f>
        <v>1792.1</v>
      </c>
      <c r="E129" s="141">
        <f>RCFs!$C$43</f>
        <v>68.141894999999991</v>
      </c>
      <c r="F129" s="56">
        <f t="shared" ref="F129" si="269">ROUND(G129*C129,1)</f>
        <v>462.3</v>
      </c>
      <c r="G129" s="141">
        <f>RCFs!$C$5</f>
        <v>17.577000000000002</v>
      </c>
      <c r="H129" s="56">
        <f t="shared" ref="H129" si="270">ROUND(I129*C129,1)</f>
        <v>462.3</v>
      </c>
      <c r="I129" s="141">
        <f>RCFs!$C$5</f>
        <v>17.577000000000002</v>
      </c>
      <c r="J129" s="65">
        <f t="shared" si="249"/>
        <v>508.5</v>
      </c>
      <c r="K129" s="65">
        <f t="shared" si="249"/>
        <v>633.29999999999995</v>
      </c>
      <c r="L129" s="65">
        <f t="shared" si="249"/>
        <v>679.5</v>
      </c>
      <c r="M129" s="65">
        <f t="shared" si="249"/>
        <v>748.9</v>
      </c>
      <c r="N129" s="65">
        <f t="shared" si="249"/>
        <v>924.6</v>
      </c>
      <c r="O129" s="65">
        <f t="shared" si="249"/>
        <v>993.9</v>
      </c>
      <c r="P129" s="65">
        <f t="shared" si="249"/>
        <v>1386.8</v>
      </c>
      <c r="Q129" s="56">
        <f t="shared" ref="Q129" si="271">ROUND(R129*C129,1)</f>
        <v>464.5</v>
      </c>
      <c r="R129" s="55">
        <f>RCFs!$C$7</f>
        <v>17.66</v>
      </c>
      <c r="S129" s="65">
        <f t="shared" si="222"/>
        <v>603.79999999999995</v>
      </c>
      <c r="T129" s="65">
        <f t="shared" si="222"/>
        <v>696.7</v>
      </c>
      <c r="U129" s="56">
        <f t="shared" ref="U129" si="272">ROUNDDOWN(C129*V129,1)</f>
        <v>447.9</v>
      </c>
      <c r="V129" s="55">
        <f>RCFs!$C$9</f>
        <v>17.033999999999999</v>
      </c>
      <c r="W129" s="56">
        <f t="shared" ref="W129" si="273">ROUND(X129*C129,1)</f>
        <v>448</v>
      </c>
      <c r="X129" s="141">
        <f t="shared" ref="X129" si="274">V129</f>
        <v>17.033999999999999</v>
      </c>
      <c r="Y129" s="65">
        <f t="shared" si="250"/>
        <v>492.8</v>
      </c>
      <c r="Z129" s="65">
        <f t="shared" si="250"/>
        <v>613.79999999999995</v>
      </c>
      <c r="AA129" s="65">
        <f t="shared" si="250"/>
        <v>725.8</v>
      </c>
      <c r="AB129" s="65">
        <f t="shared" si="250"/>
        <v>658.6</v>
      </c>
      <c r="AC129" s="65">
        <f t="shared" si="250"/>
        <v>972.1</v>
      </c>
      <c r="AD129" s="65">
        <f t="shared" si="250"/>
        <v>1344</v>
      </c>
      <c r="AE129" s="56">
        <f t="shared" ref="AE129" si="275">ROUND(AF129*C129,1)</f>
        <v>433.4</v>
      </c>
      <c r="AF129" s="55">
        <f>RCFs!$C$13</f>
        <v>16.48</v>
      </c>
      <c r="AG129" s="61">
        <f t="shared" si="228"/>
        <v>715.1</v>
      </c>
      <c r="AH129" s="61">
        <f t="shared" si="228"/>
        <v>910.1</v>
      </c>
      <c r="AI129" s="61">
        <f t="shared" si="229"/>
        <v>1300.2</v>
      </c>
      <c r="AJ129" s="56">
        <f t="shared" ref="AJ129" si="276">ROUNDDOWN(AK129*C129,1)</f>
        <v>443.8</v>
      </c>
      <c r="AK129" s="141">
        <f>RCFs!$C$23</f>
        <v>16.876666666666669</v>
      </c>
      <c r="AL129" s="56">
        <f t="shared" ref="AL129" si="277">ROUND(AM129*C129,1)</f>
        <v>611.70000000000005</v>
      </c>
      <c r="AM129" s="141">
        <f>RCFs!$C$27</f>
        <v>23.256666666666668</v>
      </c>
      <c r="AN129" s="142">
        <f t="shared" ref="AN129" si="278">ROUNDDOWN(AO129*C129,1)</f>
        <v>486.9</v>
      </c>
      <c r="AO129" s="141">
        <f>RCFs!$C$33</f>
        <v>18.513999999999999</v>
      </c>
      <c r="AP129" s="61">
        <f t="shared" ref="AP129" si="279">ROUNDDOWN(AN129*$AP$6,1)</f>
        <v>730.3</v>
      </c>
      <c r="AQ129" s="142">
        <f t="shared" ref="AQ129" si="280">ROUNDDOWN(AR129*C129,1)</f>
        <v>455.1</v>
      </c>
      <c r="AR129" s="141">
        <f>RCFs!$C$35</f>
        <v>17.306666666666668</v>
      </c>
      <c r="AS129" s="61">
        <f t="shared" si="235"/>
        <v>591.6</v>
      </c>
      <c r="AT129" s="61">
        <f t="shared" si="235"/>
        <v>659.8</v>
      </c>
      <c r="AU129" s="142">
        <f t="shared" ref="AU129" si="281">ROUNDDOWN(AV129*$C129,1)</f>
        <v>469.7</v>
      </c>
      <c r="AV129" s="141">
        <f>RCFs!$C$37</f>
        <v>17.86</v>
      </c>
      <c r="AW129" s="142">
        <f t="shared" si="237"/>
        <v>475.2</v>
      </c>
      <c r="AX129" s="141">
        <f>RCFs!$C$64</f>
        <v>18.07</v>
      </c>
      <c r="AY129" s="142">
        <f t="shared" ref="AY129" si="282">ROUNDDOWN(AZ129*$C129,1)</f>
        <v>481.9</v>
      </c>
      <c r="AZ129" s="141">
        <f>RCFs!$C$39</f>
        <v>18.323333333333334</v>
      </c>
      <c r="BA129" s="141">
        <f t="shared" ref="BA129" si="283">ROUNDDOWN(BB129*$C129,1)</f>
        <v>462.3</v>
      </c>
      <c r="BB129" s="141">
        <f>RCFs!$C$41</f>
        <v>17.579000000000001</v>
      </c>
    </row>
    <row r="130" spans="1:74" ht="38.25" x14ac:dyDescent="0.2">
      <c r="A130" s="108" t="s">
        <v>150</v>
      </c>
      <c r="B130" s="63" t="s">
        <v>147</v>
      </c>
      <c r="C130" s="64">
        <v>300</v>
      </c>
      <c r="D130" s="93">
        <f t="shared" si="246"/>
        <v>5273.7</v>
      </c>
      <c r="E130" s="173">
        <f>BB130</f>
        <v>17.579000000000001</v>
      </c>
      <c r="F130" s="56">
        <f t="shared" si="218"/>
        <v>5273.1</v>
      </c>
      <c r="G130" s="141">
        <f>RCFs!$C$5</f>
        <v>17.577000000000002</v>
      </c>
      <c r="H130" s="56">
        <f t="shared" si="219"/>
        <v>5273.1</v>
      </c>
      <c r="I130" s="141">
        <f>RCFs!$C$5</f>
        <v>17.577000000000002</v>
      </c>
      <c r="J130" s="65">
        <f t="shared" si="249"/>
        <v>5800.4</v>
      </c>
      <c r="K130" s="65">
        <f t="shared" si="249"/>
        <v>7224.1</v>
      </c>
      <c r="L130" s="65">
        <f t="shared" si="249"/>
        <v>7751.5</v>
      </c>
      <c r="M130" s="65">
        <f t="shared" si="249"/>
        <v>8542.4</v>
      </c>
      <c r="N130" s="65">
        <f t="shared" si="249"/>
        <v>10546.2</v>
      </c>
      <c r="O130" s="65">
        <f t="shared" si="249"/>
        <v>11337.2</v>
      </c>
      <c r="P130" s="65">
        <f t="shared" si="249"/>
        <v>15819.3</v>
      </c>
      <c r="Q130" s="56">
        <f t="shared" si="221"/>
        <v>5298</v>
      </c>
      <c r="R130" s="55">
        <f>RCFs!$C$7</f>
        <v>17.66</v>
      </c>
      <c r="S130" s="65">
        <f t="shared" si="222"/>
        <v>6887.4</v>
      </c>
      <c r="T130" s="65">
        <f t="shared" si="222"/>
        <v>7947</v>
      </c>
      <c r="U130" s="56">
        <f t="shared" si="223"/>
        <v>5110.2</v>
      </c>
      <c r="V130" s="55">
        <f>RCFs!$C$9</f>
        <v>17.033999999999999</v>
      </c>
      <c r="W130" s="56">
        <f t="shared" si="224"/>
        <v>5110.2</v>
      </c>
      <c r="X130" s="141">
        <f t="shared" si="225"/>
        <v>17.033999999999999</v>
      </c>
      <c r="Y130" s="65">
        <f t="shared" si="250"/>
        <v>5621.2</v>
      </c>
      <c r="Z130" s="65">
        <f t="shared" si="250"/>
        <v>7001</v>
      </c>
      <c r="AA130" s="65">
        <f t="shared" si="250"/>
        <v>8278.5</v>
      </c>
      <c r="AB130" s="65">
        <f t="shared" si="250"/>
        <v>7512</v>
      </c>
      <c r="AC130" s="65">
        <f t="shared" si="250"/>
        <v>11089.1</v>
      </c>
      <c r="AD130" s="65">
        <f t="shared" si="250"/>
        <v>15330.6</v>
      </c>
      <c r="AE130" s="56">
        <f t="shared" si="227"/>
        <v>4944</v>
      </c>
      <c r="AF130" s="55">
        <f>RCFs!$C$13</f>
        <v>16.48</v>
      </c>
      <c r="AG130" s="61">
        <f t="shared" si="228"/>
        <v>8157.6</v>
      </c>
      <c r="AH130" s="61">
        <f t="shared" si="228"/>
        <v>10382.4</v>
      </c>
      <c r="AI130" s="61">
        <f t="shared" si="229"/>
        <v>14832</v>
      </c>
      <c r="AJ130" s="56">
        <f t="shared" si="230"/>
        <v>5063</v>
      </c>
      <c r="AK130" s="141">
        <f>RCFs!$C$23</f>
        <v>16.876666666666669</v>
      </c>
      <c r="AL130" s="56">
        <f t="shared" si="231"/>
        <v>6977</v>
      </c>
      <c r="AM130" s="141">
        <f>RCFs!$C$27</f>
        <v>23.256666666666668</v>
      </c>
      <c r="AN130" s="142">
        <f t="shared" si="232"/>
        <v>5554.2</v>
      </c>
      <c r="AO130" s="141">
        <f>RCFs!$C$33</f>
        <v>18.513999999999999</v>
      </c>
      <c r="AP130" s="61">
        <f t="shared" si="233"/>
        <v>8331.2999999999993</v>
      </c>
      <c r="AQ130" s="142">
        <f t="shared" si="234"/>
        <v>5192</v>
      </c>
      <c r="AR130" s="141">
        <f>RCFs!$C$35</f>
        <v>17.306666666666668</v>
      </c>
      <c r="AS130" s="61">
        <f t="shared" si="235"/>
        <v>6749.6</v>
      </c>
      <c r="AT130" s="61">
        <f t="shared" si="235"/>
        <v>7528.4</v>
      </c>
      <c r="AU130" s="142">
        <f t="shared" si="236"/>
        <v>5358</v>
      </c>
      <c r="AV130" s="141">
        <f>RCFs!$C$37</f>
        <v>17.86</v>
      </c>
      <c r="AW130" s="142">
        <f t="shared" si="237"/>
        <v>5421</v>
      </c>
      <c r="AX130" s="141">
        <f>RCFs!$C$64</f>
        <v>18.07</v>
      </c>
      <c r="AY130" s="142">
        <f t="shared" si="236"/>
        <v>5497</v>
      </c>
      <c r="AZ130" s="141">
        <f>RCFs!$C$39</f>
        <v>18.323333333333334</v>
      </c>
      <c r="BA130" s="141">
        <f t="shared" ref="BA130" si="284">ROUNDDOWN(BB130*$C130,1)</f>
        <v>5273.7</v>
      </c>
      <c r="BB130" s="141">
        <f>RCFs!$C$41</f>
        <v>17.579000000000001</v>
      </c>
    </row>
    <row r="131" spans="1:74" s="86" customFormat="1" x14ac:dyDescent="0.2">
      <c r="A131" s="108" t="s">
        <v>151</v>
      </c>
      <c r="B131" s="63" t="s">
        <v>111</v>
      </c>
      <c r="C131" s="64">
        <v>160</v>
      </c>
      <c r="D131" s="93">
        <f t="shared" si="246"/>
        <v>2812.6</v>
      </c>
      <c r="E131" s="173">
        <f t="shared" ref="E131:E140" si="285">BB131</f>
        <v>17.579000000000001</v>
      </c>
      <c r="F131" s="56">
        <f t="shared" si="218"/>
        <v>2812.3</v>
      </c>
      <c r="G131" s="141">
        <f>RCFs!$C$5</f>
        <v>17.577000000000002</v>
      </c>
      <c r="H131" s="56">
        <f t="shared" si="219"/>
        <v>2812.3</v>
      </c>
      <c r="I131" s="141">
        <f>RCFs!$C$5</f>
        <v>17.577000000000002</v>
      </c>
      <c r="J131" s="65">
        <f t="shared" si="249"/>
        <v>3093.6</v>
      </c>
      <c r="K131" s="65">
        <f t="shared" si="249"/>
        <v>3852.9</v>
      </c>
      <c r="L131" s="65">
        <f t="shared" si="249"/>
        <v>4134.1000000000004</v>
      </c>
      <c r="M131" s="65">
        <f t="shared" si="249"/>
        <v>4556</v>
      </c>
      <c r="N131" s="65">
        <f t="shared" si="249"/>
        <v>5624.6</v>
      </c>
      <c r="O131" s="65">
        <f t="shared" si="249"/>
        <v>6046.5</v>
      </c>
      <c r="P131" s="65">
        <f t="shared" si="249"/>
        <v>8437</v>
      </c>
      <c r="Q131" s="56">
        <f t="shared" si="221"/>
        <v>2825.6</v>
      </c>
      <c r="R131" s="55">
        <f>RCFs!$C$7</f>
        <v>17.66</v>
      </c>
      <c r="S131" s="65">
        <f t="shared" si="222"/>
        <v>3673.2</v>
      </c>
      <c r="T131" s="65">
        <f t="shared" si="222"/>
        <v>4238.3999999999996</v>
      </c>
      <c r="U131" s="56">
        <f t="shared" si="223"/>
        <v>2725.4</v>
      </c>
      <c r="V131" s="55">
        <f>RCFs!$C$9</f>
        <v>17.033999999999999</v>
      </c>
      <c r="W131" s="56">
        <f t="shared" si="224"/>
        <v>2725.4</v>
      </c>
      <c r="X131" s="141">
        <f t="shared" si="225"/>
        <v>17.033999999999999</v>
      </c>
      <c r="Y131" s="65">
        <f t="shared" si="250"/>
        <v>2998</v>
      </c>
      <c r="Z131" s="65">
        <f t="shared" si="250"/>
        <v>3733.9</v>
      </c>
      <c r="AA131" s="65">
        <f t="shared" si="250"/>
        <v>4415.2</v>
      </c>
      <c r="AB131" s="65">
        <f t="shared" si="250"/>
        <v>4006.4</v>
      </c>
      <c r="AC131" s="65">
        <f t="shared" si="250"/>
        <v>5914.2</v>
      </c>
      <c r="AD131" s="65">
        <f t="shared" si="250"/>
        <v>8176.3</v>
      </c>
      <c r="AE131" s="56">
        <f t="shared" si="227"/>
        <v>2636.8</v>
      </c>
      <c r="AF131" s="55">
        <f>RCFs!$C$13</f>
        <v>16.48</v>
      </c>
      <c r="AG131" s="61">
        <f t="shared" si="228"/>
        <v>4350.7</v>
      </c>
      <c r="AH131" s="61">
        <f t="shared" si="228"/>
        <v>5537.3</v>
      </c>
      <c r="AI131" s="61">
        <f t="shared" si="229"/>
        <v>7910.4</v>
      </c>
      <c r="AJ131" s="56">
        <f t="shared" si="230"/>
        <v>2700.2</v>
      </c>
      <c r="AK131" s="141">
        <f>RCFs!$C$23</f>
        <v>16.876666666666669</v>
      </c>
      <c r="AL131" s="56">
        <f t="shared" si="231"/>
        <v>3721.1</v>
      </c>
      <c r="AM131" s="141">
        <f>RCFs!$C$27</f>
        <v>23.256666666666668</v>
      </c>
      <c r="AN131" s="142">
        <f t="shared" si="232"/>
        <v>2962.2</v>
      </c>
      <c r="AO131" s="141">
        <f>RCFs!$C$33</f>
        <v>18.513999999999999</v>
      </c>
      <c r="AP131" s="61">
        <f t="shared" si="233"/>
        <v>4443.3</v>
      </c>
      <c r="AQ131" s="142">
        <f t="shared" si="234"/>
        <v>2769</v>
      </c>
      <c r="AR131" s="141">
        <f>RCFs!$C$35</f>
        <v>17.306666666666668</v>
      </c>
      <c r="AS131" s="61">
        <f t="shared" si="235"/>
        <v>3599.7</v>
      </c>
      <c r="AT131" s="61">
        <f t="shared" si="235"/>
        <v>4015</v>
      </c>
      <c r="AU131" s="142">
        <f t="shared" si="236"/>
        <v>2857.6</v>
      </c>
      <c r="AV131" s="141">
        <f>RCFs!$C$37</f>
        <v>17.86</v>
      </c>
      <c r="AW131" s="142">
        <f t="shared" si="237"/>
        <v>2891.2</v>
      </c>
      <c r="AX131" s="141">
        <f>RCFs!$C$64</f>
        <v>18.07</v>
      </c>
      <c r="AY131" s="142">
        <f t="shared" si="236"/>
        <v>2931.7</v>
      </c>
      <c r="AZ131" s="141">
        <f>RCFs!$C$39</f>
        <v>18.323333333333334</v>
      </c>
      <c r="BA131" s="141">
        <f t="shared" ref="BA131" si="286">ROUNDDOWN(BB131*$C131,1)</f>
        <v>2812.6</v>
      </c>
      <c r="BB131" s="141">
        <f>RCFs!$C$41</f>
        <v>17.579000000000001</v>
      </c>
      <c r="BC131" s="84"/>
      <c r="BD131" s="84"/>
      <c r="BE131" s="84"/>
      <c r="BF131" s="84"/>
      <c r="BG131" s="84"/>
      <c r="BH131" s="84"/>
      <c r="BI131" s="84"/>
      <c r="BJ131" s="84"/>
      <c r="BK131" s="84"/>
      <c r="BL131" s="84"/>
      <c r="BM131" s="85"/>
      <c r="BN131" s="85"/>
      <c r="BO131" s="85"/>
      <c r="BP131" s="85"/>
      <c r="BQ131" s="85"/>
      <c r="BR131" s="85"/>
      <c r="BS131" s="85"/>
      <c r="BT131" s="85"/>
      <c r="BU131" s="85"/>
      <c r="BV131" s="85"/>
    </row>
    <row r="132" spans="1:74" x14ac:dyDescent="0.2">
      <c r="A132" s="109" t="s">
        <v>129</v>
      </c>
      <c r="B132" s="63" t="s">
        <v>84</v>
      </c>
      <c r="C132" s="64">
        <v>50</v>
      </c>
      <c r="D132" s="93">
        <f t="shared" si="246"/>
        <v>837.9</v>
      </c>
      <c r="E132" s="173">
        <f t="shared" si="285"/>
        <v>16.757000000000001</v>
      </c>
      <c r="F132" s="56">
        <f t="shared" si="218"/>
        <v>837.7</v>
      </c>
      <c r="G132" s="141">
        <f>RCFs!$F$5</f>
        <v>16.753</v>
      </c>
      <c r="H132" s="56">
        <f t="shared" si="219"/>
        <v>837.7</v>
      </c>
      <c r="I132" s="141">
        <f>RCFs!$F$5</f>
        <v>16.753</v>
      </c>
      <c r="J132" s="65">
        <f t="shared" si="249"/>
        <v>921.4</v>
      </c>
      <c r="K132" s="65">
        <f t="shared" si="249"/>
        <v>1147.5999999999999</v>
      </c>
      <c r="L132" s="65">
        <f t="shared" si="249"/>
        <v>1231.3</v>
      </c>
      <c r="M132" s="65">
        <f t="shared" si="249"/>
        <v>1357</v>
      </c>
      <c r="N132" s="65">
        <f t="shared" si="249"/>
        <v>1675.3</v>
      </c>
      <c r="O132" s="65">
        <f t="shared" si="249"/>
        <v>1800.9</v>
      </c>
      <c r="P132" s="65">
        <f t="shared" si="249"/>
        <v>2513</v>
      </c>
      <c r="Q132" s="56">
        <f t="shared" si="221"/>
        <v>841.8</v>
      </c>
      <c r="R132" s="55">
        <f>RCFs!$F$7</f>
        <v>16.835999999999999</v>
      </c>
      <c r="S132" s="65">
        <f t="shared" si="222"/>
        <v>1094.3</v>
      </c>
      <c r="T132" s="65">
        <f t="shared" si="222"/>
        <v>1262.7</v>
      </c>
      <c r="U132" s="56">
        <f t="shared" si="223"/>
        <v>811.9</v>
      </c>
      <c r="V132" s="55">
        <f>RCFs!$F$9</f>
        <v>16.238</v>
      </c>
      <c r="W132" s="56">
        <f t="shared" si="224"/>
        <v>811.9</v>
      </c>
      <c r="X132" s="141">
        <f t="shared" si="225"/>
        <v>16.238</v>
      </c>
      <c r="Y132" s="65">
        <f t="shared" si="250"/>
        <v>893.1</v>
      </c>
      <c r="Z132" s="65">
        <f t="shared" si="250"/>
        <v>1112.3</v>
      </c>
      <c r="AA132" s="65">
        <f t="shared" si="250"/>
        <v>1315.3</v>
      </c>
      <c r="AB132" s="65">
        <f t="shared" si="250"/>
        <v>1193.5</v>
      </c>
      <c r="AC132" s="65">
        <f t="shared" si="250"/>
        <v>1761.8</v>
      </c>
      <c r="AD132" s="65">
        <f t="shared" si="250"/>
        <v>2435.6999999999998</v>
      </c>
      <c r="AE132" s="56">
        <f t="shared" si="227"/>
        <v>786.5</v>
      </c>
      <c r="AF132" s="55">
        <f>RCFs!$F$13</f>
        <v>15.73</v>
      </c>
      <c r="AG132" s="61">
        <f t="shared" si="228"/>
        <v>1297.7</v>
      </c>
      <c r="AH132" s="61">
        <f t="shared" si="228"/>
        <v>1651.7</v>
      </c>
      <c r="AI132" s="61">
        <f t="shared" si="229"/>
        <v>2359.5</v>
      </c>
      <c r="AJ132" s="56">
        <f t="shared" si="230"/>
        <v>804.4</v>
      </c>
      <c r="AK132" s="141">
        <f>RCFs!$F$23</f>
        <v>16.088000000000001</v>
      </c>
      <c r="AL132" s="56">
        <f t="shared" si="231"/>
        <v>1109.0999999999999</v>
      </c>
      <c r="AM132" s="141">
        <f>RCFs!$F$27</f>
        <v>22.181999999999999</v>
      </c>
      <c r="AN132" s="142">
        <f t="shared" si="232"/>
        <v>882.4</v>
      </c>
      <c r="AO132" s="141">
        <f>RCFs!$F$33</f>
        <v>17.648</v>
      </c>
      <c r="AP132" s="61">
        <f t="shared" si="233"/>
        <v>1323.6</v>
      </c>
      <c r="AQ132" s="142">
        <f t="shared" si="234"/>
        <v>837.8</v>
      </c>
      <c r="AR132" s="141">
        <f>RCFs!$F$41</f>
        <v>16.757000000000001</v>
      </c>
      <c r="AS132" s="61">
        <f t="shared" si="235"/>
        <v>1089.0999999999999</v>
      </c>
      <c r="AT132" s="61">
        <f t="shared" si="235"/>
        <v>1214.8</v>
      </c>
      <c r="AU132" s="142">
        <f t="shared" si="236"/>
        <v>851.6</v>
      </c>
      <c r="AV132" s="141">
        <f>RCFs!$F$37</f>
        <v>17.032</v>
      </c>
      <c r="AW132" s="142">
        <f t="shared" si="237"/>
        <v>861</v>
      </c>
      <c r="AX132" s="141">
        <f>RCFs!$F$64</f>
        <v>17.22</v>
      </c>
      <c r="AY132" s="142">
        <f t="shared" si="236"/>
        <v>868</v>
      </c>
      <c r="AZ132" s="141">
        <f>RCFs!$F$39</f>
        <v>17.36</v>
      </c>
      <c r="BA132" s="141">
        <f t="shared" ref="BA132" si="287">ROUNDDOWN(BB132*$C132,1)</f>
        <v>837.8</v>
      </c>
      <c r="BB132" s="141">
        <f>RCFs!$F$41</f>
        <v>16.757000000000001</v>
      </c>
    </row>
    <row r="133" spans="1:74" x14ac:dyDescent="0.2">
      <c r="A133" s="108" t="s">
        <v>133</v>
      </c>
      <c r="B133" s="63" t="s">
        <v>112</v>
      </c>
      <c r="C133" s="64">
        <v>25</v>
      </c>
      <c r="D133" s="93">
        <f t="shared" ref="D133:D140" si="288">ROUND(E133*C133,1)</f>
        <v>418.9</v>
      </c>
      <c r="E133" s="173">
        <f t="shared" si="285"/>
        <v>16.757000000000001</v>
      </c>
      <c r="F133" s="56">
        <f t="shared" si="218"/>
        <v>418.8</v>
      </c>
      <c r="G133" s="141">
        <f>RCFs!$F$5</f>
        <v>16.753</v>
      </c>
      <c r="H133" s="56">
        <f t="shared" si="219"/>
        <v>418.8</v>
      </c>
      <c r="I133" s="141">
        <f>RCFs!$F$5</f>
        <v>16.753</v>
      </c>
      <c r="J133" s="65">
        <f t="shared" si="249"/>
        <v>460.7</v>
      </c>
      <c r="K133" s="65">
        <f t="shared" si="249"/>
        <v>573.79999999999995</v>
      </c>
      <c r="L133" s="65">
        <f t="shared" si="249"/>
        <v>615.70000000000005</v>
      </c>
      <c r="M133" s="65">
        <f t="shared" si="249"/>
        <v>678.5</v>
      </c>
      <c r="N133" s="65">
        <f t="shared" si="249"/>
        <v>837.7</v>
      </c>
      <c r="O133" s="65">
        <f t="shared" si="249"/>
        <v>900.5</v>
      </c>
      <c r="P133" s="65">
        <f t="shared" si="249"/>
        <v>1256.5</v>
      </c>
      <c r="Q133" s="56">
        <f t="shared" si="221"/>
        <v>420.9</v>
      </c>
      <c r="R133" s="55">
        <f>RCFs!$F$7</f>
        <v>16.835999999999999</v>
      </c>
      <c r="S133" s="65">
        <f t="shared" ref="S133:T140" si="289">ROUNDDOWN($Q133*S$6,1)</f>
        <v>547.1</v>
      </c>
      <c r="T133" s="65">
        <f t="shared" si="289"/>
        <v>631.29999999999995</v>
      </c>
      <c r="U133" s="56">
        <f t="shared" si="223"/>
        <v>405.9</v>
      </c>
      <c r="V133" s="55">
        <f>RCFs!$F$9</f>
        <v>16.238</v>
      </c>
      <c r="W133" s="56">
        <f t="shared" si="224"/>
        <v>406</v>
      </c>
      <c r="X133" s="141">
        <f t="shared" si="225"/>
        <v>16.238</v>
      </c>
      <c r="Y133" s="65">
        <f t="shared" si="250"/>
        <v>446.5</v>
      </c>
      <c r="Z133" s="65">
        <f t="shared" si="250"/>
        <v>556.20000000000005</v>
      </c>
      <c r="AA133" s="65">
        <f t="shared" si="250"/>
        <v>657.6</v>
      </c>
      <c r="AB133" s="65">
        <f t="shared" si="250"/>
        <v>596.70000000000005</v>
      </c>
      <c r="AC133" s="65">
        <f t="shared" si="250"/>
        <v>880.9</v>
      </c>
      <c r="AD133" s="65">
        <f t="shared" si="250"/>
        <v>1217.9000000000001</v>
      </c>
      <c r="AE133" s="56">
        <f t="shared" si="227"/>
        <v>393.3</v>
      </c>
      <c r="AF133" s="55">
        <f>RCFs!$F$13</f>
        <v>15.73</v>
      </c>
      <c r="AG133" s="61">
        <f t="shared" si="228"/>
        <v>648.9</v>
      </c>
      <c r="AH133" s="61">
        <f t="shared" si="228"/>
        <v>825.9</v>
      </c>
      <c r="AI133" s="61">
        <f t="shared" si="229"/>
        <v>1179.9000000000001</v>
      </c>
      <c r="AJ133" s="56">
        <f t="shared" si="230"/>
        <v>402.2</v>
      </c>
      <c r="AK133" s="141">
        <f>RCFs!$F$23</f>
        <v>16.088000000000001</v>
      </c>
      <c r="AL133" s="56">
        <f t="shared" si="231"/>
        <v>554.6</v>
      </c>
      <c r="AM133" s="141">
        <f>RCFs!$F$27</f>
        <v>22.181999999999999</v>
      </c>
      <c r="AN133" s="142">
        <f t="shared" si="232"/>
        <v>441.2</v>
      </c>
      <c r="AO133" s="141">
        <f>RCFs!$F$33</f>
        <v>17.648</v>
      </c>
      <c r="AP133" s="61">
        <f t="shared" si="233"/>
        <v>661.8</v>
      </c>
      <c r="AQ133" s="142">
        <f t="shared" si="234"/>
        <v>418.9</v>
      </c>
      <c r="AR133" s="141">
        <f>RCFs!$F$41</f>
        <v>16.757000000000001</v>
      </c>
      <c r="AS133" s="61">
        <f t="shared" ref="AS133:AT140" si="290">ROUNDDOWN($AQ133*AS$6,1)</f>
        <v>544.5</v>
      </c>
      <c r="AT133" s="61">
        <f t="shared" si="290"/>
        <v>607.4</v>
      </c>
      <c r="AU133" s="142">
        <f t="shared" si="236"/>
        <v>425.8</v>
      </c>
      <c r="AV133" s="141">
        <f>RCFs!$F$37</f>
        <v>17.032</v>
      </c>
      <c r="AW133" s="142">
        <f t="shared" si="237"/>
        <v>430.5</v>
      </c>
      <c r="AX133" s="141">
        <f>RCFs!$F$64</f>
        <v>17.22</v>
      </c>
      <c r="AY133" s="142">
        <f t="shared" si="236"/>
        <v>434</v>
      </c>
      <c r="AZ133" s="141">
        <f>RCFs!$F$39</f>
        <v>17.36</v>
      </c>
      <c r="BA133" s="141">
        <f t="shared" ref="BA133" si="291">ROUNDDOWN(BB133*$C133,1)</f>
        <v>418.9</v>
      </c>
      <c r="BB133" s="141">
        <f>RCFs!$F$41</f>
        <v>16.757000000000001</v>
      </c>
    </row>
    <row r="134" spans="1:74" x14ac:dyDescent="0.2">
      <c r="A134" s="109" t="s">
        <v>130</v>
      </c>
      <c r="B134" s="63" t="s">
        <v>85</v>
      </c>
      <c r="C134" s="64">
        <v>50</v>
      </c>
      <c r="D134" s="93">
        <f t="shared" si="288"/>
        <v>837.9</v>
      </c>
      <c r="E134" s="173">
        <f t="shared" si="285"/>
        <v>16.757000000000001</v>
      </c>
      <c r="F134" s="56">
        <f t="shared" si="218"/>
        <v>837.7</v>
      </c>
      <c r="G134" s="141">
        <f>RCFs!$F$5</f>
        <v>16.753</v>
      </c>
      <c r="H134" s="56">
        <f t="shared" si="219"/>
        <v>837.7</v>
      </c>
      <c r="I134" s="141">
        <f>RCFs!$F$5</f>
        <v>16.753</v>
      </c>
      <c r="J134" s="65">
        <f t="shared" si="249"/>
        <v>921.4</v>
      </c>
      <c r="K134" s="65">
        <f t="shared" si="249"/>
        <v>1147.5999999999999</v>
      </c>
      <c r="L134" s="65">
        <f t="shared" si="249"/>
        <v>1231.3</v>
      </c>
      <c r="M134" s="65">
        <f t="shared" si="249"/>
        <v>1357</v>
      </c>
      <c r="N134" s="65">
        <f t="shared" si="249"/>
        <v>1675.3</v>
      </c>
      <c r="O134" s="65">
        <f t="shared" si="249"/>
        <v>1800.9</v>
      </c>
      <c r="P134" s="65">
        <f t="shared" si="249"/>
        <v>2513</v>
      </c>
      <c r="Q134" s="56">
        <f t="shared" si="221"/>
        <v>841.8</v>
      </c>
      <c r="R134" s="55">
        <f>RCFs!$F$7</f>
        <v>16.835999999999999</v>
      </c>
      <c r="S134" s="65">
        <f t="shared" si="289"/>
        <v>1094.3</v>
      </c>
      <c r="T134" s="65">
        <f t="shared" si="289"/>
        <v>1262.7</v>
      </c>
      <c r="U134" s="56">
        <f t="shared" si="223"/>
        <v>811.9</v>
      </c>
      <c r="V134" s="55">
        <f>RCFs!$F$9</f>
        <v>16.238</v>
      </c>
      <c r="W134" s="56">
        <f t="shared" si="224"/>
        <v>811.9</v>
      </c>
      <c r="X134" s="141">
        <f t="shared" si="225"/>
        <v>16.238</v>
      </c>
      <c r="Y134" s="65">
        <f t="shared" si="250"/>
        <v>893.1</v>
      </c>
      <c r="Z134" s="65">
        <f t="shared" si="250"/>
        <v>1112.3</v>
      </c>
      <c r="AA134" s="65">
        <f t="shared" si="250"/>
        <v>1315.3</v>
      </c>
      <c r="AB134" s="65">
        <f t="shared" si="250"/>
        <v>1193.5</v>
      </c>
      <c r="AC134" s="65">
        <f t="shared" si="250"/>
        <v>1761.8</v>
      </c>
      <c r="AD134" s="65">
        <f t="shared" si="250"/>
        <v>2435.6999999999998</v>
      </c>
      <c r="AE134" s="56">
        <f t="shared" si="227"/>
        <v>786.5</v>
      </c>
      <c r="AF134" s="55">
        <f>RCFs!$F$13</f>
        <v>15.73</v>
      </c>
      <c r="AG134" s="61">
        <f t="shared" si="228"/>
        <v>1297.7</v>
      </c>
      <c r="AH134" s="61">
        <f t="shared" si="228"/>
        <v>1651.7</v>
      </c>
      <c r="AI134" s="61">
        <f t="shared" si="229"/>
        <v>2359.5</v>
      </c>
      <c r="AJ134" s="56">
        <f t="shared" si="230"/>
        <v>804.4</v>
      </c>
      <c r="AK134" s="141">
        <f>RCFs!$F$23</f>
        <v>16.088000000000001</v>
      </c>
      <c r="AL134" s="56">
        <f t="shared" si="231"/>
        <v>1109.0999999999999</v>
      </c>
      <c r="AM134" s="141">
        <f>RCFs!$F$27</f>
        <v>22.181999999999999</v>
      </c>
      <c r="AN134" s="142">
        <f t="shared" si="232"/>
        <v>882.4</v>
      </c>
      <c r="AO134" s="141">
        <f>RCFs!$F$33</f>
        <v>17.648</v>
      </c>
      <c r="AP134" s="61">
        <f t="shared" si="233"/>
        <v>1323.6</v>
      </c>
      <c r="AQ134" s="142">
        <f t="shared" si="234"/>
        <v>837.8</v>
      </c>
      <c r="AR134" s="141">
        <f>RCFs!$F$41</f>
        <v>16.757000000000001</v>
      </c>
      <c r="AS134" s="61">
        <f t="shared" si="290"/>
        <v>1089.0999999999999</v>
      </c>
      <c r="AT134" s="61">
        <f t="shared" si="290"/>
        <v>1214.8</v>
      </c>
      <c r="AU134" s="142">
        <f t="shared" si="236"/>
        <v>851.6</v>
      </c>
      <c r="AV134" s="141">
        <f>RCFs!$F$37</f>
        <v>17.032</v>
      </c>
      <c r="AW134" s="142">
        <f t="shared" si="237"/>
        <v>861</v>
      </c>
      <c r="AX134" s="141">
        <f>RCFs!$F$64</f>
        <v>17.22</v>
      </c>
      <c r="AY134" s="142">
        <f t="shared" si="236"/>
        <v>868</v>
      </c>
      <c r="AZ134" s="141">
        <f>RCFs!$F$39</f>
        <v>17.36</v>
      </c>
      <c r="BA134" s="141">
        <f t="shared" ref="BA134" si="292">ROUNDDOWN(BB134*$C134,1)</f>
        <v>837.8</v>
      </c>
      <c r="BB134" s="141">
        <f>RCFs!$F$41</f>
        <v>16.757000000000001</v>
      </c>
    </row>
    <row r="135" spans="1:74" x14ac:dyDescent="0.2">
      <c r="A135" s="108" t="s">
        <v>134</v>
      </c>
      <c r="B135" s="63" t="s">
        <v>113</v>
      </c>
      <c r="C135" s="64">
        <v>10</v>
      </c>
      <c r="D135" s="93">
        <f t="shared" si="288"/>
        <v>167.6</v>
      </c>
      <c r="E135" s="173">
        <f t="shared" si="285"/>
        <v>16.757000000000001</v>
      </c>
      <c r="F135" s="56">
        <f t="shared" si="218"/>
        <v>167.5</v>
      </c>
      <c r="G135" s="141">
        <f>RCFs!$F$5</f>
        <v>16.753</v>
      </c>
      <c r="H135" s="56">
        <f t="shared" si="219"/>
        <v>167.5</v>
      </c>
      <c r="I135" s="141">
        <f>RCFs!$F$5</f>
        <v>16.753</v>
      </c>
      <c r="J135" s="65">
        <f t="shared" si="249"/>
        <v>184.3</v>
      </c>
      <c r="K135" s="65">
        <f t="shared" si="249"/>
        <v>229.5</v>
      </c>
      <c r="L135" s="65">
        <f t="shared" si="249"/>
        <v>246.3</v>
      </c>
      <c r="M135" s="65">
        <f t="shared" si="249"/>
        <v>271.39999999999998</v>
      </c>
      <c r="N135" s="65">
        <f t="shared" si="249"/>
        <v>335.1</v>
      </c>
      <c r="O135" s="65">
        <f t="shared" si="249"/>
        <v>360.2</v>
      </c>
      <c r="P135" s="65">
        <f t="shared" si="249"/>
        <v>502.6</v>
      </c>
      <c r="Q135" s="56">
        <f t="shared" si="221"/>
        <v>168.4</v>
      </c>
      <c r="R135" s="55">
        <f>RCFs!$F$7</f>
        <v>16.835999999999999</v>
      </c>
      <c r="S135" s="65">
        <f t="shared" si="289"/>
        <v>218.9</v>
      </c>
      <c r="T135" s="65">
        <f t="shared" si="289"/>
        <v>252.6</v>
      </c>
      <c r="U135" s="56">
        <f t="shared" si="223"/>
        <v>162.30000000000001</v>
      </c>
      <c r="V135" s="55">
        <f>RCFs!$F$9</f>
        <v>16.238</v>
      </c>
      <c r="W135" s="56">
        <f t="shared" si="224"/>
        <v>162.4</v>
      </c>
      <c r="X135" s="141">
        <f t="shared" si="225"/>
        <v>16.238</v>
      </c>
      <c r="Y135" s="65">
        <f t="shared" si="250"/>
        <v>178.6</v>
      </c>
      <c r="Z135" s="65">
        <f t="shared" si="250"/>
        <v>222.5</v>
      </c>
      <c r="AA135" s="65">
        <f t="shared" si="250"/>
        <v>263.10000000000002</v>
      </c>
      <c r="AB135" s="65">
        <f t="shared" si="250"/>
        <v>238.7</v>
      </c>
      <c r="AC135" s="65">
        <f t="shared" si="250"/>
        <v>352.4</v>
      </c>
      <c r="AD135" s="65">
        <f t="shared" si="250"/>
        <v>487.1</v>
      </c>
      <c r="AE135" s="56">
        <f t="shared" si="227"/>
        <v>157.30000000000001</v>
      </c>
      <c r="AF135" s="55">
        <f>RCFs!$F$13</f>
        <v>15.73</v>
      </c>
      <c r="AG135" s="61">
        <f t="shared" si="228"/>
        <v>259.5</v>
      </c>
      <c r="AH135" s="61">
        <f t="shared" si="228"/>
        <v>330.3</v>
      </c>
      <c r="AI135" s="61">
        <f t="shared" si="229"/>
        <v>471.9</v>
      </c>
      <c r="AJ135" s="56">
        <f t="shared" si="230"/>
        <v>160.80000000000001</v>
      </c>
      <c r="AK135" s="141">
        <f>RCFs!$F$23</f>
        <v>16.088000000000001</v>
      </c>
      <c r="AL135" s="56">
        <f t="shared" si="231"/>
        <v>221.8</v>
      </c>
      <c r="AM135" s="141">
        <f>RCFs!$F$27</f>
        <v>22.181999999999999</v>
      </c>
      <c r="AN135" s="142">
        <f t="shared" si="232"/>
        <v>176.4</v>
      </c>
      <c r="AO135" s="141">
        <f>RCFs!$F$33</f>
        <v>17.648</v>
      </c>
      <c r="AP135" s="61">
        <f t="shared" si="233"/>
        <v>264.60000000000002</v>
      </c>
      <c r="AQ135" s="142">
        <f t="shared" si="234"/>
        <v>167.5</v>
      </c>
      <c r="AR135" s="141">
        <f>RCFs!$F$41</f>
        <v>16.757000000000001</v>
      </c>
      <c r="AS135" s="61">
        <f t="shared" si="290"/>
        <v>217.7</v>
      </c>
      <c r="AT135" s="61">
        <f t="shared" si="290"/>
        <v>242.8</v>
      </c>
      <c r="AU135" s="142">
        <f t="shared" si="236"/>
        <v>170.3</v>
      </c>
      <c r="AV135" s="141">
        <f>RCFs!$F$37</f>
        <v>17.032</v>
      </c>
      <c r="AW135" s="142">
        <f t="shared" si="237"/>
        <v>172.2</v>
      </c>
      <c r="AX135" s="141">
        <f>RCFs!$F$64</f>
        <v>17.22</v>
      </c>
      <c r="AY135" s="142">
        <f t="shared" si="236"/>
        <v>173.6</v>
      </c>
      <c r="AZ135" s="141">
        <f>RCFs!$F$39</f>
        <v>17.36</v>
      </c>
      <c r="BA135" s="141">
        <f t="shared" ref="BA135" si="293">ROUNDDOWN(BB135*$C135,1)</f>
        <v>167.5</v>
      </c>
      <c r="BB135" s="141">
        <f>RCFs!$F$41</f>
        <v>16.757000000000001</v>
      </c>
    </row>
    <row r="136" spans="1:74" s="86" customFormat="1" x14ac:dyDescent="0.2">
      <c r="A136" s="108" t="s">
        <v>135</v>
      </c>
      <c r="B136" s="63" t="s">
        <v>114</v>
      </c>
      <c r="C136" s="64">
        <v>10</v>
      </c>
      <c r="D136" s="93">
        <f t="shared" si="288"/>
        <v>167.6</v>
      </c>
      <c r="E136" s="173">
        <f t="shared" si="285"/>
        <v>16.757000000000001</v>
      </c>
      <c r="F136" s="56">
        <f t="shared" si="218"/>
        <v>167.5</v>
      </c>
      <c r="G136" s="141">
        <f>RCFs!$F$5</f>
        <v>16.753</v>
      </c>
      <c r="H136" s="56">
        <f t="shared" si="219"/>
        <v>167.5</v>
      </c>
      <c r="I136" s="141">
        <f>RCFs!$F$5</f>
        <v>16.753</v>
      </c>
      <c r="J136" s="65">
        <f t="shared" si="249"/>
        <v>184.3</v>
      </c>
      <c r="K136" s="65">
        <f t="shared" si="249"/>
        <v>229.5</v>
      </c>
      <c r="L136" s="65">
        <f t="shared" si="249"/>
        <v>246.3</v>
      </c>
      <c r="M136" s="65">
        <f t="shared" si="249"/>
        <v>271.39999999999998</v>
      </c>
      <c r="N136" s="65">
        <f t="shared" si="249"/>
        <v>335.1</v>
      </c>
      <c r="O136" s="65">
        <f t="shared" si="249"/>
        <v>360.2</v>
      </c>
      <c r="P136" s="65">
        <f t="shared" si="249"/>
        <v>502.6</v>
      </c>
      <c r="Q136" s="56">
        <f t="shared" si="221"/>
        <v>168.4</v>
      </c>
      <c r="R136" s="55">
        <f>RCFs!$F$7</f>
        <v>16.835999999999999</v>
      </c>
      <c r="S136" s="65">
        <f t="shared" si="289"/>
        <v>218.9</v>
      </c>
      <c r="T136" s="65">
        <f t="shared" si="289"/>
        <v>252.6</v>
      </c>
      <c r="U136" s="56">
        <f t="shared" si="223"/>
        <v>162.30000000000001</v>
      </c>
      <c r="V136" s="55">
        <f>RCFs!$F$9</f>
        <v>16.238</v>
      </c>
      <c r="W136" s="56">
        <f t="shared" si="224"/>
        <v>162.4</v>
      </c>
      <c r="X136" s="141">
        <f t="shared" si="225"/>
        <v>16.238</v>
      </c>
      <c r="Y136" s="65">
        <f t="shared" si="250"/>
        <v>178.6</v>
      </c>
      <c r="Z136" s="65">
        <f t="shared" si="250"/>
        <v>222.5</v>
      </c>
      <c r="AA136" s="65">
        <f t="shared" si="250"/>
        <v>263.10000000000002</v>
      </c>
      <c r="AB136" s="65">
        <f t="shared" si="250"/>
        <v>238.7</v>
      </c>
      <c r="AC136" s="65">
        <f t="shared" si="250"/>
        <v>352.4</v>
      </c>
      <c r="AD136" s="65">
        <f t="shared" si="250"/>
        <v>487.1</v>
      </c>
      <c r="AE136" s="56">
        <f t="shared" si="227"/>
        <v>157.30000000000001</v>
      </c>
      <c r="AF136" s="55">
        <f>RCFs!$F$13</f>
        <v>15.73</v>
      </c>
      <c r="AG136" s="61">
        <f t="shared" si="228"/>
        <v>259.5</v>
      </c>
      <c r="AH136" s="61">
        <f t="shared" si="228"/>
        <v>330.3</v>
      </c>
      <c r="AI136" s="61">
        <f t="shared" si="229"/>
        <v>471.9</v>
      </c>
      <c r="AJ136" s="56">
        <f t="shared" si="230"/>
        <v>160.80000000000001</v>
      </c>
      <c r="AK136" s="141">
        <f>RCFs!$F$23</f>
        <v>16.088000000000001</v>
      </c>
      <c r="AL136" s="56">
        <f t="shared" si="231"/>
        <v>221.8</v>
      </c>
      <c r="AM136" s="141">
        <f>RCFs!$F$27</f>
        <v>22.181999999999999</v>
      </c>
      <c r="AN136" s="142">
        <f t="shared" si="232"/>
        <v>176.4</v>
      </c>
      <c r="AO136" s="141">
        <f>RCFs!$F$33</f>
        <v>17.648</v>
      </c>
      <c r="AP136" s="61">
        <f t="shared" si="233"/>
        <v>264.60000000000002</v>
      </c>
      <c r="AQ136" s="142">
        <f t="shared" si="234"/>
        <v>167.5</v>
      </c>
      <c r="AR136" s="141">
        <f>RCFs!$F$41</f>
        <v>16.757000000000001</v>
      </c>
      <c r="AS136" s="61">
        <f t="shared" si="290"/>
        <v>217.7</v>
      </c>
      <c r="AT136" s="61">
        <f t="shared" si="290"/>
        <v>242.8</v>
      </c>
      <c r="AU136" s="142">
        <f t="shared" si="236"/>
        <v>170.3</v>
      </c>
      <c r="AV136" s="141">
        <f>RCFs!$F$37</f>
        <v>17.032</v>
      </c>
      <c r="AW136" s="142">
        <f t="shared" si="237"/>
        <v>172.2</v>
      </c>
      <c r="AX136" s="141">
        <f>RCFs!$F$64</f>
        <v>17.22</v>
      </c>
      <c r="AY136" s="142">
        <f t="shared" si="236"/>
        <v>173.6</v>
      </c>
      <c r="AZ136" s="141">
        <f>RCFs!$F$39</f>
        <v>17.36</v>
      </c>
      <c r="BA136" s="141">
        <f t="shared" ref="BA136" si="294">ROUNDDOWN(BB136*$C136,1)</f>
        <v>167.5</v>
      </c>
      <c r="BB136" s="141">
        <f>RCFs!$F$41</f>
        <v>16.757000000000001</v>
      </c>
      <c r="BC136" s="84"/>
      <c r="BD136" s="84"/>
      <c r="BE136" s="84"/>
      <c r="BF136" s="84"/>
      <c r="BG136" s="84"/>
      <c r="BH136" s="84"/>
      <c r="BI136" s="84"/>
      <c r="BJ136" s="84"/>
      <c r="BK136" s="84"/>
      <c r="BL136" s="84"/>
      <c r="BM136" s="85"/>
      <c r="BN136" s="85"/>
      <c r="BO136" s="85"/>
      <c r="BP136" s="85"/>
      <c r="BQ136" s="85"/>
      <c r="BR136" s="85"/>
      <c r="BS136" s="85"/>
      <c r="BT136" s="85"/>
      <c r="BU136" s="85"/>
      <c r="BV136" s="85"/>
    </row>
    <row r="137" spans="1:74" s="86" customFormat="1" x14ac:dyDescent="0.2">
      <c r="A137" s="110" t="s">
        <v>136</v>
      </c>
      <c r="B137" s="90" t="s">
        <v>115</v>
      </c>
      <c r="C137" s="91">
        <v>50</v>
      </c>
      <c r="D137" s="93">
        <f t="shared" si="288"/>
        <v>837.9</v>
      </c>
      <c r="E137" s="173">
        <f t="shared" si="285"/>
        <v>16.757000000000001</v>
      </c>
      <c r="F137" s="56">
        <f t="shared" si="218"/>
        <v>837.7</v>
      </c>
      <c r="G137" s="141">
        <f>RCFs!$F$5</f>
        <v>16.753</v>
      </c>
      <c r="H137" s="56">
        <f t="shared" si="219"/>
        <v>837.7</v>
      </c>
      <c r="I137" s="141">
        <f>RCFs!$F$5</f>
        <v>16.753</v>
      </c>
      <c r="J137" s="65">
        <f t="shared" si="249"/>
        <v>921.4</v>
      </c>
      <c r="K137" s="65">
        <f t="shared" si="249"/>
        <v>1147.5999999999999</v>
      </c>
      <c r="L137" s="65">
        <f t="shared" si="249"/>
        <v>1231.3</v>
      </c>
      <c r="M137" s="65">
        <f t="shared" si="249"/>
        <v>1357</v>
      </c>
      <c r="N137" s="65">
        <f t="shared" si="249"/>
        <v>1675.3</v>
      </c>
      <c r="O137" s="65">
        <f t="shared" si="249"/>
        <v>1800.9</v>
      </c>
      <c r="P137" s="65">
        <f t="shared" si="249"/>
        <v>2513</v>
      </c>
      <c r="Q137" s="56">
        <f t="shared" si="221"/>
        <v>841.8</v>
      </c>
      <c r="R137" s="55">
        <f>RCFs!$F$7</f>
        <v>16.835999999999999</v>
      </c>
      <c r="S137" s="65">
        <f t="shared" si="289"/>
        <v>1094.3</v>
      </c>
      <c r="T137" s="65">
        <f t="shared" si="289"/>
        <v>1262.7</v>
      </c>
      <c r="U137" s="56">
        <f t="shared" si="223"/>
        <v>811.9</v>
      </c>
      <c r="V137" s="55">
        <f>RCFs!$F$9</f>
        <v>16.238</v>
      </c>
      <c r="W137" s="56">
        <f t="shared" si="224"/>
        <v>811.9</v>
      </c>
      <c r="X137" s="141">
        <f t="shared" si="225"/>
        <v>16.238</v>
      </c>
      <c r="Y137" s="65">
        <f t="shared" si="250"/>
        <v>893.1</v>
      </c>
      <c r="Z137" s="65">
        <f t="shared" si="250"/>
        <v>1112.3</v>
      </c>
      <c r="AA137" s="65">
        <f t="shared" si="250"/>
        <v>1315.3</v>
      </c>
      <c r="AB137" s="65">
        <f t="shared" si="250"/>
        <v>1193.5</v>
      </c>
      <c r="AC137" s="65">
        <f t="shared" si="250"/>
        <v>1761.8</v>
      </c>
      <c r="AD137" s="65">
        <f t="shared" si="250"/>
        <v>2435.6999999999998</v>
      </c>
      <c r="AE137" s="56">
        <f t="shared" si="227"/>
        <v>786.5</v>
      </c>
      <c r="AF137" s="55">
        <f>RCFs!$F$13</f>
        <v>15.73</v>
      </c>
      <c r="AG137" s="61">
        <f t="shared" si="228"/>
        <v>1297.7</v>
      </c>
      <c r="AH137" s="61">
        <f t="shared" si="228"/>
        <v>1651.7</v>
      </c>
      <c r="AI137" s="61">
        <f t="shared" si="229"/>
        <v>2359.5</v>
      </c>
      <c r="AJ137" s="56">
        <f t="shared" si="230"/>
        <v>804.4</v>
      </c>
      <c r="AK137" s="141">
        <f>RCFs!$F$23</f>
        <v>16.088000000000001</v>
      </c>
      <c r="AL137" s="56">
        <f t="shared" si="231"/>
        <v>1109.0999999999999</v>
      </c>
      <c r="AM137" s="141">
        <f>RCFs!$F$27</f>
        <v>22.181999999999999</v>
      </c>
      <c r="AN137" s="142">
        <f t="shared" si="232"/>
        <v>882.4</v>
      </c>
      <c r="AO137" s="141">
        <f>RCFs!$F$33</f>
        <v>17.648</v>
      </c>
      <c r="AP137" s="61">
        <f t="shared" si="233"/>
        <v>1323.6</v>
      </c>
      <c r="AQ137" s="142">
        <f t="shared" si="234"/>
        <v>837.8</v>
      </c>
      <c r="AR137" s="141">
        <f>RCFs!$F$41</f>
        <v>16.757000000000001</v>
      </c>
      <c r="AS137" s="61">
        <f t="shared" si="290"/>
        <v>1089.0999999999999</v>
      </c>
      <c r="AT137" s="61">
        <f t="shared" si="290"/>
        <v>1214.8</v>
      </c>
      <c r="AU137" s="142">
        <f t="shared" si="236"/>
        <v>851.6</v>
      </c>
      <c r="AV137" s="141">
        <f>RCFs!$F$37</f>
        <v>17.032</v>
      </c>
      <c r="AW137" s="142">
        <f t="shared" si="237"/>
        <v>861</v>
      </c>
      <c r="AX137" s="141">
        <f>RCFs!$F$64</f>
        <v>17.22</v>
      </c>
      <c r="AY137" s="142">
        <f t="shared" si="236"/>
        <v>868</v>
      </c>
      <c r="AZ137" s="141">
        <f>RCFs!$F$39</f>
        <v>17.36</v>
      </c>
      <c r="BA137" s="141">
        <f t="shared" ref="BA137:BA138" si="295">ROUNDDOWN(BB137*$C137,1)</f>
        <v>837.8</v>
      </c>
      <c r="BB137" s="141">
        <f>RCFs!$F$41</f>
        <v>16.757000000000001</v>
      </c>
      <c r="BC137" s="84"/>
      <c r="BD137" s="84"/>
      <c r="BE137" s="84"/>
      <c r="BF137" s="84"/>
      <c r="BG137" s="84"/>
      <c r="BH137" s="84"/>
      <c r="BI137" s="84"/>
      <c r="BJ137" s="84"/>
      <c r="BK137" s="84"/>
      <c r="BL137" s="84"/>
      <c r="BM137" s="85"/>
      <c r="BN137" s="85"/>
      <c r="BO137" s="85"/>
      <c r="BP137" s="85"/>
      <c r="BQ137" s="85"/>
      <c r="BR137" s="85"/>
      <c r="BS137" s="85"/>
      <c r="BT137" s="85"/>
      <c r="BU137" s="85"/>
      <c r="BV137" s="85"/>
    </row>
    <row r="138" spans="1:74" s="86" customFormat="1" x14ac:dyDescent="0.2">
      <c r="A138" s="110" t="s">
        <v>258</v>
      </c>
      <c r="B138" s="90" t="s">
        <v>257</v>
      </c>
      <c r="C138" s="91">
        <v>10</v>
      </c>
      <c r="D138" s="93">
        <f t="shared" si="288"/>
        <v>175.8</v>
      </c>
      <c r="E138" s="173">
        <f t="shared" si="285"/>
        <v>17.579000000000001</v>
      </c>
      <c r="F138" s="56">
        <f t="shared" si="218"/>
        <v>175.8</v>
      </c>
      <c r="G138" s="141">
        <f>RCFs!$C$5</f>
        <v>17.577000000000002</v>
      </c>
      <c r="H138" s="56">
        <f t="shared" si="219"/>
        <v>175.8</v>
      </c>
      <c r="I138" s="141">
        <f>RCFs!$C$5</f>
        <v>17.577000000000002</v>
      </c>
      <c r="J138" s="65">
        <f t="shared" si="249"/>
        <v>193.3</v>
      </c>
      <c r="K138" s="65">
        <f t="shared" si="249"/>
        <v>240.8</v>
      </c>
      <c r="L138" s="65">
        <f t="shared" si="249"/>
        <v>258.39999999999998</v>
      </c>
      <c r="M138" s="65">
        <f t="shared" si="249"/>
        <v>284.7</v>
      </c>
      <c r="N138" s="65">
        <f t="shared" si="249"/>
        <v>351.5</v>
      </c>
      <c r="O138" s="65">
        <f t="shared" si="249"/>
        <v>377.9</v>
      </c>
      <c r="P138" s="65">
        <f t="shared" si="249"/>
        <v>527.29999999999995</v>
      </c>
      <c r="Q138" s="56">
        <f t="shared" si="221"/>
        <v>176.6</v>
      </c>
      <c r="R138" s="55">
        <f>RCFs!$C$7</f>
        <v>17.66</v>
      </c>
      <c r="S138" s="65">
        <f t="shared" si="289"/>
        <v>229.5</v>
      </c>
      <c r="T138" s="65">
        <f t="shared" si="289"/>
        <v>264.89999999999998</v>
      </c>
      <c r="U138" s="56">
        <f t="shared" si="223"/>
        <v>170.3</v>
      </c>
      <c r="V138" s="55">
        <f>RCFs!$C$9</f>
        <v>17.033999999999999</v>
      </c>
      <c r="W138" s="56">
        <f t="shared" si="224"/>
        <v>170.3</v>
      </c>
      <c r="X138" s="141">
        <f t="shared" si="225"/>
        <v>17.033999999999999</v>
      </c>
      <c r="Y138" s="65">
        <f t="shared" si="250"/>
        <v>187.4</v>
      </c>
      <c r="Z138" s="65">
        <f t="shared" si="250"/>
        <v>233.4</v>
      </c>
      <c r="AA138" s="65">
        <f t="shared" si="250"/>
        <v>276</v>
      </c>
      <c r="AB138" s="65">
        <f t="shared" si="250"/>
        <v>250.4</v>
      </c>
      <c r="AC138" s="65">
        <f t="shared" si="250"/>
        <v>369.6</v>
      </c>
      <c r="AD138" s="65">
        <f t="shared" si="250"/>
        <v>511</v>
      </c>
      <c r="AE138" s="56">
        <f t="shared" si="227"/>
        <v>164.8</v>
      </c>
      <c r="AF138" s="55">
        <f>RCFs!$C$13</f>
        <v>16.48</v>
      </c>
      <c r="AG138" s="61">
        <f t="shared" si="228"/>
        <v>271.89999999999998</v>
      </c>
      <c r="AH138" s="61">
        <f t="shared" si="228"/>
        <v>346.1</v>
      </c>
      <c r="AI138" s="61">
        <f t="shared" si="229"/>
        <v>494.4</v>
      </c>
      <c r="AJ138" s="56">
        <f t="shared" si="230"/>
        <v>168.7</v>
      </c>
      <c r="AK138" s="141">
        <f>RCFs!$C$23</f>
        <v>16.876666666666669</v>
      </c>
      <c r="AL138" s="56">
        <f t="shared" si="231"/>
        <v>232.6</v>
      </c>
      <c r="AM138" s="141">
        <f>RCFs!$C$27</f>
        <v>23.256666666666668</v>
      </c>
      <c r="AN138" s="142">
        <f t="shared" si="232"/>
        <v>185.1</v>
      </c>
      <c r="AO138" s="141">
        <f>RCFs!$C$33</f>
        <v>18.513999999999999</v>
      </c>
      <c r="AP138" s="61">
        <f t="shared" si="233"/>
        <v>277.60000000000002</v>
      </c>
      <c r="AQ138" s="142">
        <f t="shared" si="234"/>
        <v>173</v>
      </c>
      <c r="AR138" s="141">
        <f>RCFs!$C$35</f>
        <v>17.306666666666668</v>
      </c>
      <c r="AS138" s="61">
        <f t="shared" si="290"/>
        <v>224.9</v>
      </c>
      <c r="AT138" s="61">
        <f t="shared" si="290"/>
        <v>250.8</v>
      </c>
      <c r="AU138" s="142">
        <f t="shared" si="236"/>
        <v>178.6</v>
      </c>
      <c r="AV138" s="141">
        <f>RCFs!$C$37</f>
        <v>17.86</v>
      </c>
      <c r="AW138" s="142">
        <f t="shared" si="237"/>
        <v>180.7</v>
      </c>
      <c r="AX138" s="141">
        <f>RCFs!$C$64</f>
        <v>18.07</v>
      </c>
      <c r="AY138" s="142">
        <f t="shared" si="236"/>
        <v>183.2</v>
      </c>
      <c r="AZ138" s="141">
        <f>RCFs!$C$39</f>
        <v>18.323333333333334</v>
      </c>
      <c r="BA138" s="141">
        <f t="shared" si="295"/>
        <v>175.7</v>
      </c>
      <c r="BB138" s="141">
        <f>RCFs!$C$41</f>
        <v>17.579000000000001</v>
      </c>
      <c r="BC138" s="84"/>
      <c r="BD138" s="84"/>
      <c r="BE138" s="84"/>
      <c r="BF138" s="84"/>
      <c r="BG138" s="84"/>
      <c r="BH138" s="84"/>
      <c r="BI138" s="84"/>
      <c r="BJ138" s="84"/>
      <c r="BK138" s="84"/>
      <c r="BL138" s="84"/>
      <c r="BM138" s="85"/>
      <c r="BN138" s="85"/>
      <c r="BO138" s="85"/>
      <c r="BP138" s="85"/>
      <c r="BQ138" s="85"/>
      <c r="BR138" s="85"/>
      <c r="BS138" s="85"/>
      <c r="BT138" s="85"/>
      <c r="BU138" s="85"/>
      <c r="BV138" s="85"/>
    </row>
    <row r="139" spans="1:74" s="86" customFormat="1" x14ac:dyDescent="0.2">
      <c r="A139" s="110" t="s">
        <v>152</v>
      </c>
      <c r="B139" s="90" t="s">
        <v>116</v>
      </c>
      <c r="C139" s="91">
        <v>100</v>
      </c>
      <c r="D139" s="93">
        <f t="shared" si="288"/>
        <v>1675.7</v>
      </c>
      <c r="E139" s="173">
        <f t="shared" si="285"/>
        <v>16.757000000000001</v>
      </c>
      <c r="F139" s="56">
        <f t="shared" si="218"/>
        <v>1675.3</v>
      </c>
      <c r="G139" s="141">
        <f>RCFs!$F$5</f>
        <v>16.753</v>
      </c>
      <c r="H139" s="56">
        <f t="shared" si="219"/>
        <v>1675.3</v>
      </c>
      <c r="I139" s="141">
        <f>RCFs!$F$5</f>
        <v>16.753</v>
      </c>
      <c r="J139" s="65">
        <f t="shared" si="249"/>
        <v>1842.8</v>
      </c>
      <c r="K139" s="65">
        <f t="shared" si="249"/>
        <v>2295.1999999999998</v>
      </c>
      <c r="L139" s="65">
        <f t="shared" si="249"/>
        <v>2462.6999999999998</v>
      </c>
      <c r="M139" s="65">
        <f t="shared" si="249"/>
        <v>2714</v>
      </c>
      <c r="N139" s="65">
        <f t="shared" si="249"/>
        <v>3350.6</v>
      </c>
      <c r="O139" s="65">
        <f t="shared" si="249"/>
        <v>3601.9</v>
      </c>
      <c r="P139" s="65">
        <f t="shared" si="249"/>
        <v>5025.8999999999996</v>
      </c>
      <c r="Q139" s="56">
        <f t="shared" si="221"/>
        <v>1683.6</v>
      </c>
      <c r="R139" s="55">
        <f>RCFs!$F$7</f>
        <v>16.835999999999999</v>
      </c>
      <c r="S139" s="65">
        <f t="shared" si="289"/>
        <v>2188.6</v>
      </c>
      <c r="T139" s="65">
        <f t="shared" si="289"/>
        <v>2525.4</v>
      </c>
      <c r="U139" s="56">
        <f t="shared" si="223"/>
        <v>1623.8</v>
      </c>
      <c r="V139" s="55">
        <f>RCFs!$F$9</f>
        <v>16.238</v>
      </c>
      <c r="W139" s="56">
        <f t="shared" si="224"/>
        <v>1623.8</v>
      </c>
      <c r="X139" s="141">
        <f t="shared" si="225"/>
        <v>16.238</v>
      </c>
      <c r="Y139" s="65">
        <f t="shared" si="250"/>
        <v>1786.2</v>
      </c>
      <c r="Z139" s="65">
        <f t="shared" si="250"/>
        <v>2224.6</v>
      </c>
      <c r="AA139" s="65">
        <f t="shared" si="250"/>
        <v>2630.6</v>
      </c>
      <c r="AB139" s="65">
        <f t="shared" si="250"/>
        <v>2387</v>
      </c>
      <c r="AC139" s="65">
        <f t="shared" si="250"/>
        <v>3523.6</v>
      </c>
      <c r="AD139" s="65">
        <f t="shared" si="250"/>
        <v>4871.3999999999996</v>
      </c>
      <c r="AE139" s="56">
        <f t="shared" si="227"/>
        <v>1573</v>
      </c>
      <c r="AF139" s="55">
        <f>RCFs!$F$13</f>
        <v>15.73</v>
      </c>
      <c r="AG139" s="61">
        <f t="shared" si="228"/>
        <v>2595.5</v>
      </c>
      <c r="AH139" s="61">
        <f t="shared" si="228"/>
        <v>3303.3</v>
      </c>
      <c r="AI139" s="61">
        <f t="shared" si="229"/>
        <v>4719</v>
      </c>
      <c r="AJ139" s="56">
        <f t="shared" si="230"/>
        <v>1608.8</v>
      </c>
      <c r="AK139" s="141">
        <f>RCFs!$F$23</f>
        <v>16.088000000000001</v>
      </c>
      <c r="AL139" s="56">
        <f t="shared" si="231"/>
        <v>2218.1999999999998</v>
      </c>
      <c r="AM139" s="141">
        <f>RCFs!$F$27</f>
        <v>22.181999999999999</v>
      </c>
      <c r="AN139" s="142">
        <f t="shared" si="232"/>
        <v>1764.8</v>
      </c>
      <c r="AO139" s="141">
        <f>RCFs!$F$33</f>
        <v>17.648</v>
      </c>
      <c r="AP139" s="61">
        <f t="shared" si="233"/>
        <v>2647.2</v>
      </c>
      <c r="AQ139" s="142">
        <f t="shared" si="234"/>
        <v>1675.7</v>
      </c>
      <c r="AR139" s="141">
        <f>RCFs!$F$41</f>
        <v>16.757000000000001</v>
      </c>
      <c r="AS139" s="61">
        <f t="shared" si="290"/>
        <v>2178.4</v>
      </c>
      <c r="AT139" s="61">
        <f t="shared" si="290"/>
        <v>2429.6999999999998</v>
      </c>
      <c r="AU139" s="142">
        <f t="shared" si="236"/>
        <v>1703.2</v>
      </c>
      <c r="AV139" s="141">
        <f>RCFs!$F$37</f>
        <v>17.032</v>
      </c>
      <c r="AW139" s="142">
        <f t="shared" si="237"/>
        <v>1722</v>
      </c>
      <c r="AX139" s="141">
        <f>RCFs!$F$64</f>
        <v>17.22</v>
      </c>
      <c r="AY139" s="142">
        <f t="shared" si="236"/>
        <v>1736</v>
      </c>
      <c r="AZ139" s="141">
        <f>RCFs!$F$39</f>
        <v>17.36</v>
      </c>
      <c r="BA139" s="141">
        <f t="shared" ref="BA139" si="296">ROUNDDOWN(BB139*$C139,1)</f>
        <v>1675.7</v>
      </c>
      <c r="BB139" s="141">
        <f>RCFs!$F$41</f>
        <v>16.757000000000001</v>
      </c>
      <c r="BC139" s="84"/>
      <c r="BD139" s="84"/>
      <c r="BE139" s="84"/>
      <c r="BF139" s="84"/>
      <c r="BG139" s="84"/>
      <c r="BH139" s="84"/>
      <c r="BI139" s="84"/>
      <c r="BJ139" s="84"/>
      <c r="BK139" s="84"/>
      <c r="BL139" s="84"/>
      <c r="BM139" s="85"/>
      <c r="BN139" s="85"/>
      <c r="BO139" s="85"/>
      <c r="BP139" s="85"/>
      <c r="BQ139" s="85"/>
      <c r="BR139" s="85"/>
      <c r="BS139" s="85"/>
      <c r="BT139" s="85"/>
      <c r="BU139" s="85"/>
      <c r="BV139" s="85"/>
    </row>
    <row r="140" spans="1:74" s="86" customFormat="1" x14ac:dyDescent="0.2">
      <c r="A140" s="110" t="s">
        <v>153</v>
      </c>
      <c r="B140" s="90" t="s">
        <v>117</v>
      </c>
      <c r="C140" s="91">
        <v>78</v>
      </c>
      <c r="D140" s="93">
        <f t="shared" si="288"/>
        <v>1307</v>
      </c>
      <c r="E140" s="173">
        <f t="shared" si="285"/>
        <v>16.757000000000001</v>
      </c>
      <c r="F140" s="56">
        <f t="shared" si="218"/>
        <v>1306.7</v>
      </c>
      <c r="G140" s="141">
        <f>RCFs!$F$5</f>
        <v>16.753</v>
      </c>
      <c r="H140" s="56">
        <f t="shared" si="219"/>
        <v>1306.7</v>
      </c>
      <c r="I140" s="141">
        <f>RCFs!$F$5</f>
        <v>16.753</v>
      </c>
      <c r="J140" s="65">
        <f t="shared" si="249"/>
        <v>1437.4</v>
      </c>
      <c r="K140" s="65">
        <f t="shared" si="249"/>
        <v>1790.2</v>
      </c>
      <c r="L140" s="65">
        <f t="shared" si="249"/>
        <v>1920.9</v>
      </c>
      <c r="M140" s="65">
        <f t="shared" si="249"/>
        <v>2116.9</v>
      </c>
      <c r="N140" s="65">
        <f t="shared" si="249"/>
        <v>2613.5</v>
      </c>
      <c r="O140" s="65">
        <f t="shared" si="249"/>
        <v>2809.5</v>
      </c>
      <c r="P140" s="65">
        <f t="shared" si="249"/>
        <v>3920.2</v>
      </c>
      <c r="Q140" s="56">
        <f t="shared" si="221"/>
        <v>1313.2</v>
      </c>
      <c r="R140" s="55">
        <f>RCFs!$F$7</f>
        <v>16.835999999999999</v>
      </c>
      <c r="S140" s="65">
        <f t="shared" si="289"/>
        <v>1707.1</v>
      </c>
      <c r="T140" s="65">
        <f t="shared" si="289"/>
        <v>1969.8</v>
      </c>
      <c r="U140" s="56">
        <f t="shared" si="223"/>
        <v>1266.5</v>
      </c>
      <c r="V140" s="55">
        <f>RCFs!$F$9</f>
        <v>16.238</v>
      </c>
      <c r="W140" s="56">
        <f t="shared" si="224"/>
        <v>1266.5999999999999</v>
      </c>
      <c r="X140" s="141">
        <f t="shared" si="225"/>
        <v>16.238</v>
      </c>
      <c r="Y140" s="65">
        <f t="shared" si="250"/>
        <v>1393.2</v>
      </c>
      <c r="Z140" s="65">
        <f t="shared" si="250"/>
        <v>1735.2</v>
      </c>
      <c r="AA140" s="65">
        <f t="shared" si="250"/>
        <v>2051.8000000000002</v>
      </c>
      <c r="AB140" s="65">
        <f t="shared" si="250"/>
        <v>1861.8</v>
      </c>
      <c r="AC140" s="65">
        <f t="shared" si="250"/>
        <v>2748.4</v>
      </c>
      <c r="AD140" s="65">
        <f t="shared" si="250"/>
        <v>3799.7</v>
      </c>
      <c r="AE140" s="56">
        <f t="shared" si="227"/>
        <v>1226.9000000000001</v>
      </c>
      <c r="AF140" s="55">
        <f>RCFs!$F$13</f>
        <v>15.73</v>
      </c>
      <c r="AG140" s="61">
        <f t="shared" si="228"/>
        <v>2024.4</v>
      </c>
      <c r="AH140" s="61">
        <f t="shared" si="228"/>
        <v>2576.5</v>
      </c>
      <c r="AI140" s="61">
        <f t="shared" si="229"/>
        <v>3680.7</v>
      </c>
      <c r="AJ140" s="56">
        <f t="shared" si="230"/>
        <v>1254.8</v>
      </c>
      <c r="AK140" s="141">
        <f>RCFs!$F$23</f>
        <v>16.088000000000001</v>
      </c>
      <c r="AL140" s="56">
        <f t="shared" si="231"/>
        <v>1730.2</v>
      </c>
      <c r="AM140" s="141">
        <f>RCFs!$F$27</f>
        <v>22.181999999999999</v>
      </c>
      <c r="AN140" s="142">
        <f t="shared" si="232"/>
        <v>1376.5</v>
      </c>
      <c r="AO140" s="141">
        <f>RCFs!$F$33</f>
        <v>17.648</v>
      </c>
      <c r="AP140" s="61">
        <f t="shared" si="233"/>
        <v>2064.6999999999998</v>
      </c>
      <c r="AQ140" s="142">
        <f t="shared" si="234"/>
        <v>1307</v>
      </c>
      <c r="AR140" s="141">
        <f>RCFs!$F$41</f>
        <v>16.757000000000001</v>
      </c>
      <c r="AS140" s="61">
        <f t="shared" si="290"/>
        <v>1699.1</v>
      </c>
      <c r="AT140" s="61">
        <f t="shared" si="290"/>
        <v>1895.1</v>
      </c>
      <c r="AU140" s="142">
        <f t="shared" si="236"/>
        <v>1328.4</v>
      </c>
      <c r="AV140" s="141">
        <f>RCFs!$F$37</f>
        <v>17.032</v>
      </c>
      <c r="AW140" s="142">
        <f t="shared" si="237"/>
        <v>1343.1</v>
      </c>
      <c r="AX140" s="141">
        <f>RCFs!$F$64</f>
        <v>17.22</v>
      </c>
      <c r="AY140" s="142">
        <f t="shared" si="236"/>
        <v>1354</v>
      </c>
      <c r="AZ140" s="141">
        <f>RCFs!$F$39</f>
        <v>17.36</v>
      </c>
      <c r="BA140" s="141">
        <f t="shared" ref="BA140" si="297">ROUNDDOWN(BB140*$C140,1)</f>
        <v>1307</v>
      </c>
      <c r="BB140" s="141">
        <f>RCFs!$F$41</f>
        <v>16.757000000000001</v>
      </c>
      <c r="BC140" s="84"/>
      <c r="BD140" s="84"/>
      <c r="BE140" s="84"/>
      <c r="BF140" s="84"/>
      <c r="BG140" s="84"/>
      <c r="BH140" s="84"/>
      <c r="BI140" s="84"/>
      <c r="BJ140" s="84"/>
      <c r="BK140" s="84"/>
      <c r="BL140" s="84"/>
      <c r="BM140" s="85"/>
      <c r="BN140" s="85"/>
      <c r="BO140" s="85"/>
      <c r="BP140" s="85"/>
      <c r="BQ140" s="85"/>
      <c r="BR140" s="85"/>
      <c r="BS140" s="85"/>
      <c r="BT140" s="85"/>
      <c r="BU140" s="85"/>
      <c r="BV140" s="85"/>
    </row>
    <row r="141" spans="1:74" x14ac:dyDescent="0.2">
      <c r="A141" s="111"/>
      <c r="B141" s="112"/>
      <c r="C141" s="113"/>
      <c r="D141" s="114"/>
      <c r="E141" s="73"/>
      <c r="F141" s="73"/>
      <c r="G141" s="73"/>
      <c r="H141" s="73"/>
      <c r="I141" s="73"/>
      <c r="J141" s="65"/>
      <c r="K141" s="65"/>
      <c r="L141" s="65"/>
      <c r="M141" s="65"/>
      <c r="N141" s="65"/>
      <c r="O141" s="65"/>
      <c r="P141" s="65"/>
      <c r="Q141" s="114"/>
      <c r="R141" s="115"/>
      <c r="S141" s="156"/>
      <c r="T141" s="156"/>
      <c r="U141" s="114"/>
      <c r="V141" s="115"/>
      <c r="W141" s="114"/>
      <c r="X141" s="115"/>
      <c r="Y141" s="98"/>
      <c r="Z141" s="98"/>
      <c r="AA141" s="98"/>
      <c r="AB141" s="98"/>
      <c r="AC141" s="98"/>
      <c r="AD141" s="98"/>
      <c r="AE141" s="114"/>
      <c r="AF141" s="114"/>
      <c r="AG141" s="116"/>
      <c r="AH141" s="116"/>
      <c r="AI141" s="116"/>
      <c r="AJ141" s="72"/>
      <c r="AK141" s="115"/>
      <c r="AL141" s="115"/>
      <c r="AM141" s="115"/>
      <c r="AN141" s="114"/>
      <c r="AO141" s="115"/>
      <c r="AP141" s="116"/>
      <c r="AQ141" s="114"/>
      <c r="AR141" s="115"/>
      <c r="AS141" s="116"/>
      <c r="AT141" s="116"/>
      <c r="AU141" s="114"/>
      <c r="AV141" s="115"/>
      <c r="AW141" s="114"/>
      <c r="AX141" s="115"/>
      <c r="AY141" s="114"/>
      <c r="AZ141" s="115"/>
      <c r="BA141" s="72"/>
      <c r="BB141" s="73"/>
    </row>
    <row r="142" spans="1:74" s="7" customFormat="1" x14ac:dyDescent="0.2">
      <c r="A142" s="269" t="s">
        <v>283</v>
      </c>
      <c r="B142" s="270"/>
      <c r="C142" s="270"/>
      <c r="D142" s="270"/>
      <c r="E142" s="271"/>
      <c r="F142" s="271"/>
      <c r="G142" s="271"/>
      <c r="H142" s="272"/>
      <c r="I142" s="271"/>
      <c r="J142" s="273"/>
      <c r="K142" s="273"/>
      <c r="L142" s="273"/>
      <c r="M142" s="273"/>
      <c r="N142" s="273"/>
      <c r="O142" s="273"/>
      <c r="P142" s="273"/>
      <c r="Q142" s="272"/>
      <c r="R142" s="271"/>
      <c r="S142" s="273"/>
      <c r="T142" s="273"/>
      <c r="U142" s="274"/>
      <c r="V142" s="275"/>
      <c r="W142" s="274"/>
      <c r="X142" s="275"/>
      <c r="Y142" s="270"/>
      <c r="Z142" s="270"/>
      <c r="AA142" s="270"/>
      <c r="AB142" s="270"/>
      <c r="AC142" s="270"/>
      <c r="AD142" s="270"/>
      <c r="AE142" s="272"/>
      <c r="AF142" s="272"/>
      <c r="AG142" s="272"/>
      <c r="AH142" s="272"/>
      <c r="AI142" s="272"/>
      <c r="AJ142" s="270"/>
      <c r="AK142" s="275"/>
      <c r="AL142" s="270"/>
      <c r="AM142" s="275"/>
      <c r="AN142" s="276"/>
      <c r="AO142" s="273"/>
      <c r="AP142" s="272"/>
      <c r="AQ142" s="272"/>
      <c r="AR142" s="272"/>
      <c r="AS142" s="272"/>
      <c r="AT142" s="272"/>
      <c r="AU142" s="272"/>
      <c r="AV142" s="272"/>
      <c r="AW142" s="272"/>
      <c r="AX142" s="272"/>
      <c r="AY142" s="272"/>
      <c r="AZ142" s="272"/>
      <c r="BA142" s="276"/>
      <c r="BB142" s="277"/>
    </row>
    <row r="143" spans="1:74" s="7" customFormat="1" x14ac:dyDescent="0.2">
      <c r="A143" s="229" t="s">
        <v>124</v>
      </c>
      <c r="B143" s="117"/>
      <c r="C143" s="118"/>
      <c r="D143" s="119"/>
      <c r="E143" s="120"/>
      <c r="F143" s="120"/>
      <c r="G143" s="120"/>
      <c r="H143" s="120"/>
      <c r="I143" s="120"/>
      <c r="J143" s="120"/>
      <c r="K143" s="120"/>
      <c r="L143" s="120"/>
      <c r="M143" s="120"/>
      <c r="N143" s="120"/>
      <c r="O143" s="120"/>
      <c r="P143" s="120"/>
      <c r="Q143" s="120"/>
      <c r="R143" s="120"/>
      <c r="S143" s="120"/>
      <c r="T143" s="120"/>
      <c r="U143" s="119"/>
      <c r="V143" s="120"/>
      <c r="W143" s="119"/>
      <c r="X143" s="120"/>
      <c r="Y143" s="117"/>
      <c r="Z143" s="117"/>
      <c r="AA143" s="117"/>
      <c r="AB143" s="117"/>
      <c r="AC143" s="117"/>
      <c r="AD143" s="117"/>
      <c r="AE143" s="119"/>
      <c r="AF143" s="120"/>
      <c r="AG143" s="120"/>
      <c r="AH143" s="120"/>
      <c r="AI143" s="120"/>
      <c r="AJ143" s="119"/>
      <c r="AK143" s="120"/>
      <c r="AL143" s="119"/>
      <c r="AM143" s="120"/>
      <c r="AN143" s="119"/>
      <c r="AO143" s="120"/>
      <c r="AP143" s="120"/>
      <c r="AQ143" s="119"/>
      <c r="AR143" s="120"/>
      <c r="AS143" s="120"/>
      <c r="AT143" s="120"/>
      <c r="AU143" s="119"/>
      <c r="AV143" s="120"/>
      <c r="AW143" s="119"/>
      <c r="AX143" s="120"/>
      <c r="AY143" s="119"/>
      <c r="AZ143" s="120"/>
      <c r="BA143" s="120"/>
      <c r="BB143" s="121"/>
    </row>
    <row r="144" spans="1:74" s="7" customFormat="1" x14ac:dyDescent="0.2">
      <c r="A144" s="253" t="s">
        <v>218</v>
      </c>
      <c r="B144" s="231"/>
      <c r="C144" s="231"/>
      <c r="D144" s="231"/>
      <c r="E144" s="231"/>
      <c r="F144" s="232"/>
      <c r="G144" s="232"/>
      <c r="H144" s="232"/>
      <c r="I144" s="232"/>
      <c r="J144" s="233"/>
      <c r="K144" s="233"/>
      <c r="L144" s="233"/>
      <c r="M144" s="233"/>
      <c r="N144" s="233"/>
      <c r="O144" s="233"/>
      <c r="P144" s="233"/>
      <c r="Q144" s="232"/>
      <c r="R144" s="232"/>
      <c r="S144" s="233"/>
      <c r="T144" s="233"/>
      <c r="U144" s="232"/>
      <c r="V144" s="232"/>
      <c r="W144" s="232"/>
      <c r="X144" s="232"/>
      <c r="Y144" s="4"/>
      <c r="Z144" s="4"/>
      <c r="AA144" s="4"/>
      <c r="AB144" s="4"/>
      <c r="AC144" s="4"/>
      <c r="AD144" s="4"/>
      <c r="AE144" s="232"/>
      <c r="AF144" s="232"/>
      <c r="AG144" s="9"/>
      <c r="AH144" s="9"/>
      <c r="AI144" s="9"/>
      <c r="AJ144" s="232"/>
      <c r="AK144" s="232"/>
      <c r="AL144" s="232"/>
      <c r="AM144" s="232"/>
      <c r="AN144" s="174"/>
      <c r="AO144" s="232"/>
      <c r="AP144" s="9"/>
      <c r="AQ144" s="174"/>
      <c r="AR144" s="232"/>
      <c r="AS144" s="9"/>
      <c r="AT144" s="9"/>
      <c r="AU144" s="174"/>
      <c r="AV144" s="232"/>
      <c r="AW144" s="281"/>
      <c r="AX144" s="232"/>
      <c r="AY144" s="174"/>
      <c r="AZ144" s="187"/>
      <c r="BA144" s="232"/>
      <c r="BB144" s="175"/>
    </row>
    <row r="145" spans="1:54" s="7" customFormat="1" x14ac:dyDescent="0.2">
      <c r="A145" s="176" t="s">
        <v>291</v>
      </c>
      <c r="B145" s="231"/>
      <c r="C145" s="231"/>
      <c r="D145" s="231"/>
      <c r="E145" s="231"/>
      <c r="F145" s="232"/>
      <c r="G145" s="232"/>
      <c r="H145" s="232"/>
      <c r="I145" s="232"/>
      <c r="J145" s="233"/>
      <c r="K145" s="233"/>
      <c r="L145" s="233"/>
      <c r="M145" s="233"/>
      <c r="N145" s="233"/>
      <c r="O145" s="233"/>
      <c r="P145" s="233"/>
      <c r="Q145" s="232"/>
      <c r="R145" s="232"/>
      <c r="S145" s="233"/>
      <c r="T145" s="233"/>
      <c r="U145" s="232"/>
      <c r="V145" s="232"/>
      <c r="W145" s="232"/>
      <c r="X145" s="232"/>
      <c r="Y145" s="4"/>
      <c r="Z145" s="4"/>
      <c r="AA145" s="4"/>
      <c r="AB145" s="4"/>
      <c r="AC145" s="4"/>
      <c r="AD145" s="4"/>
      <c r="AE145" s="232"/>
      <c r="AF145" s="232"/>
      <c r="AG145" s="9"/>
      <c r="AH145" s="9"/>
      <c r="AI145" s="9"/>
      <c r="AJ145" s="232"/>
      <c r="AK145" s="232"/>
      <c r="AL145" s="232"/>
      <c r="AM145" s="232"/>
      <c r="AN145" s="174"/>
      <c r="AO145" s="232"/>
      <c r="AP145" s="9"/>
      <c r="AQ145" s="174"/>
      <c r="AR145" s="232"/>
      <c r="AS145" s="9"/>
      <c r="AT145" s="9"/>
      <c r="AU145" s="174"/>
      <c r="AV145" s="232"/>
      <c r="AW145" s="281"/>
      <c r="AX145" s="232"/>
      <c r="AY145" s="174"/>
      <c r="AZ145" s="187"/>
      <c r="BA145" s="232"/>
      <c r="BB145" s="175"/>
    </row>
    <row r="146" spans="1:54" s="7" customFormat="1" x14ac:dyDescent="0.2">
      <c r="A146" s="254" t="s">
        <v>269</v>
      </c>
      <c r="B146" s="232"/>
      <c r="C146" s="4"/>
      <c r="D146" s="8"/>
      <c r="E146" s="9"/>
      <c r="F146" s="9"/>
      <c r="G146" s="9"/>
      <c r="H146" s="9"/>
      <c r="I146" s="9"/>
      <c r="J146" s="233"/>
      <c r="K146" s="233"/>
      <c r="L146" s="233"/>
      <c r="M146" s="233"/>
      <c r="N146" s="233"/>
      <c r="O146" s="233"/>
      <c r="P146" s="233"/>
      <c r="Q146" s="9"/>
      <c r="R146" s="9"/>
      <c r="S146" s="233"/>
      <c r="T146" s="233"/>
      <c r="U146" s="8"/>
      <c r="V146" s="9"/>
      <c r="W146" s="8"/>
      <c r="X146" s="9"/>
      <c r="Y146" s="4"/>
      <c r="Z146" s="4"/>
      <c r="AA146" s="4"/>
      <c r="AB146" s="4"/>
      <c r="AC146" s="4"/>
      <c r="AD146" s="4"/>
      <c r="AE146" s="8"/>
      <c r="AF146" s="9"/>
      <c r="AG146" s="9"/>
      <c r="AH146" s="9"/>
      <c r="AI146" s="9"/>
      <c r="AJ146" s="8"/>
      <c r="AK146" s="9"/>
      <c r="AL146" s="8"/>
      <c r="AM146" s="9"/>
      <c r="AN146" s="8"/>
      <c r="AO146" s="9"/>
      <c r="AP146" s="9"/>
      <c r="AQ146" s="8"/>
      <c r="AR146" s="9"/>
      <c r="AS146" s="9"/>
      <c r="AT146" s="9"/>
      <c r="AU146" s="8"/>
      <c r="AV146" s="9"/>
      <c r="AW146" s="8"/>
      <c r="AX146" s="9"/>
      <c r="AY146" s="8"/>
      <c r="AZ146" s="9"/>
      <c r="BA146" s="9"/>
      <c r="BB146" s="122"/>
    </row>
    <row r="147" spans="1:54" s="7" customFormat="1" x14ac:dyDescent="0.2">
      <c r="A147" s="230" t="s">
        <v>270</v>
      </c>
      <c r="B147" s="232"/>
      <c r="C147" s="4"/>
      <c r="D147" s="8"/>
      <c r="E147" s="9"/>
      <c r="F147" s="9"/>
      <c r="G147" s="9"/>
      <c r="H147" s="9"/>
      <c r="I147" s="9"/>
      <c r="J147" s="9"/>
      <c r="K147" s="9"/>
      <c r="L147" s="9"/>
      <c r="M147" s="9"/>
      <c r="N147" s="9"/>
      <c r="O147" s="9"/>
      <c r="P147" s="9"/>
      <c r="Q147" s="9"/>
      <c r="R147" s="9"/>
      <c r="S147" s="9"/>
      <c r="T147" s="9"/>
      <c r="U147" s="8"/>
      <c r="V147" s="9"/>
      <c r="W147" s="8"/>
      <c r="X147" s="9"/>
      <c r="Y147" s="4"/>
      <c r="Z147" s="4"/>
      <c r="AA147" s="4"/>
      <c r="AB147" s="4"/>
      <c r="AC147" s="4"/>
      <c r="AD147" s="4"/>
      <c r="AE147" s="8"/>
      <c r="AF147" s="9"/>
      <c r="AG147" s="9"/>
      <c r="AH147" s="9"/>
      <c r="AI147" s="9"/>
      <c r="AJ147" s="8"/>
      <c r="AK147" s="9"/>
      <c r="AL147" s="8"/>
      <c r="AM147" s="9"/>
      <c r="AN147" s="8"/>
      <c r="AO147" s="9"/>
      <c r="AP147" s="9"/>
      <c r="AQ147" s="8"/>
      <c r="AR147" s="9"/>
      <c r="AS147" s="9"/>
      <c r="AT147" s="9"/>
      <c r="AU147" s="8"/>
      <c r="AV147" s="9"/>
      <c r="AW147" s="8"/>
      <c r="AX147" s="9"/>
      <c r="AY147" s="8"/>
      <c r="AZ147" s="9"/>
      <c r="BA147" s="9"/>
      <c r="BB147" s="122"/>
    </row>
    <row r="148" spans="1:54" s="7" customFormat="1" x14ac:dyDescent="0.2">
      <c r="A148" s="253" t="s">
        <v>292</v>
      </c>
      <c r="B148" s="232"/>
      <c r="C148" s="4"/>
      <c r="D148" s="8"/>
      <c r="E148" s="9"/>
      <c r="F148" s="9"/>
      <c r="G148" s="9"/>
      <c r="H148" s="9"/>
      <c r="I148" s="9"/>
      <c r="J148" s="9"/>
      <c r="K148" s="9"/>
      <c r="L148" s="9"/>
      <c r="M148" s="9"/>
      <c r="N148" s="9"/>
      <c r="O148" s="9"/>
      <c r="P148" s="9"/>
      <c r="Q148" s="9"/>
      <c r="R148" s="9"/>
      <c r="S148" s="9"/>
      <c r="T148" s="9"/>
      <c r="U148" s="8"/>
      <c r="V148" s="9"/>
      <c r="W148" s="8"/>
      <c r="X148" s="9"/>
      <c r="Y148" s="4"/>
      <c r="Z148" s="4"/>
      <c r="AA148" s="4"/>
      <c r="AB148" s="4"/>
      <c r="AC148" s="4"/>
      <c r="AD148" s="4"/>
      <c r="AE148" s="8"/>
      <c r="AF148" s="9"/>
      <c r="AG148" s="9"/>
      <c r="AH148" s="9"/>
      <c r="AI148" s="9"/>
      <c r="AJ148" s="8"/>
      <c r="AK148" s="9"/>
      <c r="AL148" s="8"/>
      <c r="AM148" s="9"/>
      <c r="AN148" s="8"/>
      <c r="AO148" s="9"/>
      <c r="AP148" s="9"/>
      <c r="AQ148" s="8"/>
      <c r="AR148" s="9"/>
      <c r="AS148" s="9"/>
      <c r="AT148" s="9"/>
      <c r="AU148" s="8"/>
      <c r="AV148" s="9"/>
      <c r="AW148" s="8"/>
      <c r="AX148" s="9"/>
      <c r="AY148" s="8"/>
      <c r="AZ148" s="9"/>
      <c r="BA148" s="9"/>
      <c r="BB148" s="122"/>
    </row>
    <row r="149" spans="1:54" s="7" customFormat="1" x14ac:dyDescent="0.2">
      <c r="A149" s="255" t="s">
        <v>284</v>
      </c>
      <c r="B149" s="232"/>
      <c r="C149" s="4"/>
      <c r="D149" s="8"/>
      <c r="E149" s="9"/>
      <c r="F149" s="9"/>
      <c r="G149" s="9"/>
      <c r="H149" s="9"/>
      <c r="I149" s="9"/>
      <c r="J149" s="9"/>
      <c r="K149" s="9"/>
      <c r="L149" s="9"/>
      <c r="M149" s="9"/>
      <c r="N149" s="9"/>
      <c r="O149" s="9"/>
      <c r="P149" s="9"/>
      <c r="Q149" s="9"/>
      <c r="R149" s="9"/>
      <c r="S149" s="9"/>
      <c r="T149" s="9"/>
      <c r="U149" s="8"/>
      <c r="V149" s="9"/>
      <c r="W149" s="8"/>
      <c r="X149" s="9"/>
      <c r="Y149" s="4"/>
      <c r="Z149" s="4"/>
      <c r="AA149" s="4"/>
      <c r="AB149" s="4"/>
      <c r="AC149" s="4"/>
      <c r="AD149" s="4"/>
      <c r="AE149" s="8"/>
      <c r="AF149" s="9"/>
      <c r="AG149" s="9"/>
      <c r="AH149" s="9"/>
      <c r="AI149" s="9"/>
      <c r="AJ149" s="8"/>
      <c r="AK149" s="9"/>
      <c r="AL149" s="8"/>
      <c r="AM149" s="9"/>
      <c r="AN149" s="8"/>
      <c r="AO149" s="9"/>
      <c r="AP149" s="9"/>
      <c r="AQ149" s="8"/>
      <c r="AR149" s="9"/>
      <c r="AS149" s="9"/>
      <c r="AT149" s="9"/>
      <c r="AU149" s="8"/>
      <c r="AV149" s="9"/>
      <c r="AW149" s="8"/>
      <c r="AX149" s="9"/>
      <c r="AY149" s="8"/>
      <c r="AZ149" s="9"/>
      <c r="BA149" s="9"/>
      <c r="BB149" s="122"/>
    </row>
    <row r="150" spans="1:54" s="7" customFormat="1" x14ac:dyDescent="0.2">
      <c r="A150" s="256" t="s">
        <v>285</v>
      </c>
      <c r="B150" s="232"/>
      <c r="C150" s="4"/>
      <c r="D150" s="8"/>
      <c r="E150" s="9"/>
      <c r="F150" s="9"/>
      <c r="G150" s="9"/>
      <c r="H150" s="9"/>
      <c r="I150" s="9"/>
      <c r="J150" s="9"/>
      <c r="K150" s="9"/>
      <c r="L150" s="9"/>
      <c r="M150" s="9"/>
      <c r="N150" s="9"/>
      <c r="O150" s="9"/>
      <c r="P150" s="9"/>
      <c r="Q150" s="9"/>
      <c r="R150" s="9"/>
      <c r="S150" s="9"/>
      <c r="T150" s="9"/>
      <c r="U150" s="8"/>
      <c r="V150" s="9"/>
      <c r="W150" s="8"/>
      <c r="X150" s="9"/>
      <c r="Y150" s="4"/>
      <c r="Z150" s="4"/>
      <c r="AA150" s="4"/>
      <c r="AB150" s="4"/>
      <c r="AC150" s="4"/>
      <c r="AD150" s="4"/>
      <c r="AE150" s="8"/>
      <c r="AF150" s="9"/>
      <c r="AG150" s="9"/>
      <c r="AH150" s="9"/>
      <c r="AI150" s="9"/>
      <c r="AJ150" s="8"/>
      <c r="AK150" s="9"/>
      <c r="AL150" s="8"/>
      <c r="AM150" s="9"/>
      <c r="AN150" s="8"/>
      <c r="AO150" s="9"/>
      <c r="AP150" s="9"/>
      <c r="AQ150" s="8"/>
      <c r="AR150" s="9"/>
      <c r="AS150" s="9"/>
      <c r="AT150" s="9"/>
      <c r="AU150" s="8"/>
      <c r="AV150" s="9"/>
      <c r="AW150" s="8"/>
      <c r="AX150" s="9"/>
      <c r="AY150" s="8"/>
      <c r="AZ150" s="9"/>
      <c r="BA150" s="9"/>
      <c r="BB150" s="122"/>
    </row>
    <row r="151" spans="1:54" s="7" customFormat="1" x14ac:dyDescent="0.2">
      <c r="A151" s="255" t="s">
        <v>286</v>
      </c>
      <c r="B151" s="232"/>
      <c r="C151" s="4"/>
      <c r="D151" s="8"/>
      <c r="E151" s="9"/>
      <c r="F151" s="9"/>
      <c r="G151" s="9"/>
      <c r="H151" s="9"/>
      <c r="I151" s="9"/>
      <c r="J151" s="9"/>
      <c r="K151" s="9"/>
      <c r="L151" s="9"/>
      <c r="M151" s="9"/>
      <c r="N151" s="9"/>
      <c r="O151" s="9"/>
      <c r="P151" s="9"/>
      <c r="Q151" s="9"/>
      <c r="R151" s="9"/>
      <c r="S151" s="9"/>
      <c r="T151" s="9"/>
      <c r="U151" s="8"/>
      <c r="V151" s="9"/>
      <c r="W151" s="8"/>
      <c r="X151" s="9"/>
      <c r="Y151" s="4"/>
      <c r="Z151" s="4"/>
      <c r="AA151" s="4"/>
      <c r="AB151" s="4"/>
      <c r="AC151" s="4"/>
      <c r="AD151" s="4"/>
      <c r="AE151" s="8"/>
      <c r="AF151" s="9"/>
      <c r="AG151" s="9"/>
      <c r="AH151" s="9"/>
      <c r="AI151" s="9"/>
      <c r="AJ151" s="8"/>
      <c r="AK151" s="9"/>
      <c r="AL151" s="8"/>
      <c r="AM151" s="9"/>
      <c r="AN151" s="8"/>
      <c r="AO151" s="9"/>
      <c r="AP151" s="9"/>
      <c r="AQ151" s="8"/>
      <c r="AR151" s="9"/>
      <c r="AS151" s="9"/>
      <c r="AT151" s="9"/>
      <c r="AU151" s="8"/>
      <c r="AV151" s="9"/>
      <c r="AW151" s="8"/>
      <c r="AX151" s="9"/>
      <c r="AY151" s="8"/>
      <c r="AZ151" s="9"/>
      <c r="BA151" s="9"/>
      <c r="BB151" s="122"/>
    </row>
    <row r="152" spans="1:54" s="7" customFormat="1" x14ac:dyDescent="0.2">
      <c r="A152" s="257" t="s">
        <v>293</v>
      </c>
      <c r="B152" s="232"/>
      <c r="C152" s="4"/>
      <c r="D152" s="8"/>
      <c r="E152" s="9"/>
      <c r="F152" s="9"/>
      <c r="G152" s="9"/>
      <c r="H152" s="9"/>
      <c r="I152" s="9"/>
      <c r="J152" s="9"/>
      <c r="K152" s="9"/>
      <c r="L152" s="9"/>
      <c r="M152" s="9"/>
      <c r="N152" s="9"/>
      <c r="O152" s="9"/>
      <c r="P152" s="9"/>
      <c r="Q152" s="9"/>
      <c r="R152" s="9"/>
      <c r="S152" s="9"/>
      <c r="T152" s="9"/>
      <c r="U152" s="8"/>
      <c r="V152" s="9"/>
      <c r="W152" s="8"/>
      <c r="X152" s="9"/>
      <c r="Y152" s="4"/>
      <c r="Z152" s="4"/>
      <c r="AA152" s="4"/>
      <c r="AB152" s="4"/>
      <c r="AC152" s="4"/>
      <c r="AD152" s="4"/>
      <c r="AE152" s="8"/>
      <c r="AF152" s="9"/>
      <c r="AG152" s="9"/>
      <c r="AH152" s="9"/>
      <c r="AI152" s="9"/>
      <c r="AJ152" s="8"/>
      <c r="AK152" s="9"/>
      <c r="AL152" s="8"/>
      <c r="AM152" s="9"/>
      <c r="AN152" s="8"/>
      <c r="AO152" s="9"/>
      <c r="AP152" s="9"/>
      <c r="AQ152" s="8"/>
      <c r="AR152" s="9"/>
      <c r="AS152" s="9"/>
      <c r="AT152" s="9"/>
      <c r="AU152" s="8"/>
      <c r="AV152" s="9"/>
      <c r="AW152" s="8"/>
      <c r="AX152" s="9"/>
      <c r="AY152" s="8"/>
      <c r="AZ152" s="9"/>
      <c r="BA152" s="9"/>
      <c r="BB152" s="122"/>
    </row>
    <row r="153" spans="1:54" s="7" customFormat="1" x14ac:dyDescent="0.2">
      <c r="A153" s="253" t="s">
        <v>271</v>
      </c>
      <c r="B153" s="232"/>
      <c r="C153" s="4"/>
      <c r="D153" s="8"/>
      <c r="E153" s="9"/>
      <c r="F153" s="9"/>
      <c r="G153" s="9"/>
      <c r="H153" s="9"/>
      <c r="I153" s="9"/>
      <c r="J153" s="9"/>
      <c r="K153" s="9"/>
      <c r="L153" s="9"/>
      <c r="M153" s="9"/>
      <c r="N153" s="9"/>
      <c r="O153" s="9"/>
      <c r="P153" s="9"/>
      <c r="Q153" s="9"/>
      <c r="R153" s="9"/>
      <c r="S153" s="9"/>
      <c r="T153" s="9"/>
      <c r="U153" s="8"/>
      <c r="V153" s="9"/>
      <c r="W153" s="8"/>
      <c r="X153" s="9"/>
      <c r="Y153" s="4"/>
      <c r="Z153" s="4"/>
      <c r="AA153" s="4"/>
      <c r="AB153" s="4"/>
      <c r="AC153" s="4"/>
      <c r="AD153" s="4"/>
      <c r="AE153" s="8"/>
      <c r="AF153" s="9"/>
      <c r="AG153" s="9"/>
      <c r="AH153" s="9"/>
      <c r="AI153" s="9"/>
      <c r="AJ153" s="8"/>
      <c r="AK153" s="9"/>
      <c r="AL153" s="8"/>
      <c r="AM153" s="9"/>
      <c r="AN153" s="8"/>
      <c r="AO153" s="9"/>
      <c r="AP153" s="9"/>
      <c r="AQ153" s="8"/>
      <c r="AR153" s="9"/>
      <c r="AS153" s="9"/>
      <c r="AT153" s="9"/>
      <c r="AU153" s="8"/>
      <c r="AV153" s="9"/>
      <c r="AW153" s="8"/>
      <c r="AX153" s="9"/>
      <c r="AY153" s="8"/>
      <c r="AZ153" s="9"/>
      <c r="BA153" s="9"/>
      <c r="BB153" s="122"/>
    </row>
    <row r="154" spans="1:54" s="7" customFormat="1" x14ac:dyDescent="0.2">
      <c r="A154" s="230" t="s">
        <v>272</v>
      </c>
      <c r="B154" s="232"/>
      <c r="C154" s="4"/>
      <c r="D154" s="8"/>
      <c r="E154" s="9"/>
      <c r="F154" s="9"/>
      <c r="G154" s="9"/>
      <c r="H154" s="9"/>
      <c r="I154" s="9"/>
      <c r="J154" s="9"/>
      <c r="K154" s="9"/>
      <c r="L154" s="9"/>
      <c r="M154" s="9"/>
      <c r="N154" s="9"/>
      <c r="O154" s="9"/>
      <c r="P154" s="9"/>
      <c r="Q154" s="9"/>
      <c r="R154" s="9"/>
      <c r="S154" s="9"/>
      <c r="T154" s="9"/>
      <c r="U154" s="8"/>
      <c r="V154" s="9"/>
      <c r="W154" s="8"/>
      <c r="X154" s="9"/>
      <c r="Y154" s="4"/>
      <c r="Z154" s="4"/>
      <c r="AA154" s="4"/>
      <c r="AB154" s="4"/>
      <c r="AC154" s="4"/>
      <c r="AD154" s="4"/>
      <c r="AE154" s="8"/>
      <c r="AF154" s="9"/>
      <c r="AG154" s="9"/>
      <c r="AH154" s="9"/>
      <c r="AI154" s="9"/>
      <c r="AJ154" s="8"/>
      <c r="AK154" s="9"/>
      <c r="AL154" s="8"/>
      <c r="AM154" s="9"/>
      <c r="AN154" s="8"/>
      <c r="AO154" s="9"/>
      <c r="AP154" s="9"/>
      <c r="AQ154" s="8"/>
      <c r="AR154" s="9"/>
      <c r="AS154" s="9"/>
      <c r="AT154" s="9"/>
      <c r="AU154" s="8"/>
      <c r="AV154" s="9"/>
      <c r="AW154" s="8"/>
      <c r="AX154" s="9"/>
      <c r="AY154" s="8"/>
      <c r="AZ154" s="9"/>
      <c r="BA154" s="9"/>
      <c r="BB154" s="122"/>
    </row>
    <row r="155" spans="1:54" s="7" customFormat="1" x14ac:dyDescent="0.2">
      <c r="A155" s="230" t="s">
        <v>273</v>
      </c>
      <c r="B155" s="232"/>
      <c r="C155" s="4"/>
      <c r="D155" s="8"/>
      <c r="E155" s="9"/>
      <c r="F155" s="9"/>
      <c r="G155" s="9"/>
      <c r="H155" s="9"/>
      <c r="I155" s="9"/>
      <c r="J155" s="9"/>
      <c r="K155" s="9"/>
      <c r="L155" s="9"/>
      <c r="M155" s="9"/>
      <c r="N155" s="9"/>
      <c r="O155" s="9"/>
      <c r="P155" s="9"/>
      <c r="Q155" s="9"/>
      <c r="R155" s="9"/>
      <c r="S155" s="9"/>
      <c r="T155" s="9"/>
      <c r="U155" s="8"/>
      <c r="V155" s="9"/>
      <c r="W155" s="8"/>
      <c r="X155" s="9"/>
      <c r="Y155" s="4"/>
      <c r="Z155" s="4"/>
      <c r="AA155" s="4"/>
      <c r="AB155" s="4"/>
      <c r="AC155" s="4"/>
      <c r="AD155" s="4"/>
      <c r="AE155" s="8"/>
      <c r="AF155" s="9"/>
      <c r="AG155" s="9"/>
      <c r="AH155" s="9"/>
      <c r="AI155" s="9"/>
      <c r="AJ155" s="8"/>
      <c r="AK155" s="9"/>
      <c r="AL155" s="8"/>
      <c r="AM155" s="9"/>
      <c r="AN155" s="8"/>
      <c r="AO155" s="9"/>
      <c r="AP155" s="9"/>
      <c r="AQ155" s="8"/>
      <c r="AR155" s="9"/>
      <c r="AS155" s="9"/>
      <c r="AT155" s="9"/>
      <c r="AU155" s="8"/>
      <c r="AV155" s="9"/>
      <c r="AW155" s="8"/>
      <c r="AX155" s="9"/>
      <c r="AY155" s="8"/>
      <c r="AZ155" s="9"/>
      <c r="BA155" s="9"/>
      <c r="BB155" s="122"/>
    </row>
    <row r="156" spans="1:54" s="7" customFormat="1" x14ac:dyDescent="0.2">
      <c r="A156" s="234" t="s">
        <v>274</v>
      </c>
      <c r="B156" s="232"/>
      <c r="C156" s="4"/>
      <c r="D156" s="8"/>
      <c r="E156" s="9"/>
      <c r="F156" s="9"/>
      <c r="G156" s="9"/>
      <c r="H156" s="9"/>
      <c r="I156" s="9"/>
      <c r="J156" s="9"/>
      <c r="K156" s="9"/>
      <c r="L156" s="9"/>
      <c r="M156" s="9"/>
      <c r="N156" s="9"/>
      <c r="O156" s="9"/>
      <c r="P156" s="9"/>
      <c r="Q156" s="9"/>
      <c r="R156" s="9"/>
      <c r="S156" s="9"/>
      <c r="T156" s="9"/>
      <c r="U156" s="8"/>
      <c r="V156" s="9"/>
      <c r="W156" s="8"/>
      <c r="X156" s="9"/>
      <c r="Y156" s="4"/>
      <c r="Z156" s="4"/>
      <c r="AA156" s="4"/>
      <c r="AB156" s="4"/>
      <c r="AC156" s="4"/>
      <c r="AD156" s="4"/>
      <c r="AE156" s="8"/>
      <c r="AF156" s="9"/>
      <c r="AG156" s="9"/>
      <c r="AH156" s="9"/>
      <c r="AI156" s="9"/>
      <c r="AJ156" s="8"/>
      <c r="AK156" s="9"/>
      <c r="AL156" s="8"/>
      <c r="AM156" s="9"/>
      <c r="AN156" s="8"/>
      <c r="AO156" s="9"/>
      <c r="AP156" s="9"/>
      <c r="AQ156" s="8"/>
      <c r="AR156" s="9"/>
      <c r="AS156" s="9"/>
      <c r="AT156" s="9"/>
      <c r="AU156" s="8"/>
      <c r="AV156" s="9"/>
      <c r="AW156" s="8"/>
      <c r="AX156" s="9"/>
      <c r="AY156" s="8"/>
      <c r="AZ156" s="9"/>
      <c r="BA156" s="9"/>
      <c r="BB156" s="122"/>
    </row>
    <row r="157" spans="1:54" s="7" customFormat="1" x14ac:dyDescent="0.2">
      <c r="A157" s="230" t="s">
        <v>275</v>
      </c>
      <c r="B157" s="232"/>
      <c r="C157" s="4"/>
      <c r="D157" s="8"/>
      <c r="E157" s="9"/>
      <c r="F157" s="9"/>
      <c r="G157" s="9"/>
      <c r="H157" s="9"/>
      <c r="I157" s="9"/>
      <c r="J157" s="9"/>
      <c r="K157" s="9"/>
      <c r="L157" s="9"/>
      <c r="M157" s="9"/>
      <c r="N157" s="9"/>
      <c r="O157" s="9"/>
      <c r="P157" s="9"/>
      <c r="Q157" s="9"/>
      <c r="R157" s="9"/>
      <c r="S157" s="9"/>
      <c r="T157" s="9"/>
      <c r="U157" s="8"/>
      <c r="V157" s="9"/>
      <c r="W157" s="8"/>
      <c r="X157" s="9"/>
      <c r="Y157" s="4"/>
      <c r="Z157" s="4"/>
      <c r="AA157" s="4"/>
      <c r="AB157" s="4"/>
      <c r="AC157" s="4"/>
      <c r="AD157" s="4"/>
      <c r="AE157" s="8"/>
      <c r="AF157" s="9"/>
      <c r="AG157" s="9"/>
      <c r="AH157" s="9"/>
      <c r="AI157" s="9"/>
      <c r="AJ157" s="8"/>
      <c r="AK157" s="9"/>
      <c r="AL157" s="8"/>
      <c r="AM157" s="9"/>
      <c r="AN157" s="8"/>
      <c r="AO157" s="9"/>
      <c r="AP157" s="9"/>
      <c r="AQ157" s="8"/>
      <c r="AR157" s="9"/>
      <c r="AS157" s="9"/>
      <c r="AT157" s="9"/>
      <c r="AU157" s="8"/>
      <c r="AV157" s="9"/>
      <c r="AW157" s="8"/>
      <c r="AX157" s="9"/>
      <c r="AY157" s="8"/>
      <c r="AZ157" s="9"/>
      <c r="BA157" s="9"/>
      <c r="BB157" s="122"/>
    </row>
    <row r="158" spans="1:54" s="7" customFormat="1" ht="15" x14ac:dyDescent="0.25">
      <c r="A158" s="258" t="s">
        <v>287</v>
      </c>
      <c r="B158" s="232"/>
      <c r="C158" s="4"/>
      <c r="D158" s="8"/>
      <c r="E158" s="9"/>
      <c r="F158" s="9"/>
      <c r="G158" s="9"/>
      <c r="H158" s="9"/>
      <c r="I158" s="9"/>
      <c r="J158" s="9"/>
      <c r="K158" s="9"/>
      <c r="L158" s="9"/>
      <c r="M158" s="9"/>
      <c r="N158" s="9"/>
      <c r="O158" s="9"/>
      <c r="P158" s="9"/>
      <c r="Q158" s="9"/>
      <c r="R158" s="9"/>
      <c r="S158" s="9"/>
      <c r="T158" s="9"/>
      <c r="U158" s="8"/>
      <c r="V158" s="9"/>
      <c r="W158" s="8"/>
      <c r="X158" s="9"/>
      <c r="Y158" s="4"/>
      <c r="Z158" s="4"/>
      <c r="AA158" s="4"/>
      <c r="AB158" s="4"/>
      <c r="AC158" s="4"/>
      <c r="AD158" s="4"/>
      <c r="AE158" s="8"/>
      <c r="AF158" s="9"/>
      <c r="AG158" s="9"/>
      <c r="AH158" s="9"/>
      <c r="AI158" s="9"/>
      <c r="AJ158" s="8"/>
      <c r="AK158" s="9"/>
      <c r="AL158" s="8"/>
      <c r="AM158" s="9"/>
      <c r="AN158" s="8"/>
      <c r="AO158" s="9"/>
      <c r="AP158" s="9"/>
      <c r="AQ158" s="8"/>
      <c r="AR158" s="9"/>
      <c r="AS158" s="9"/>
      <c r="AT158" s="9"/>
      <c r="AU158" s="8"/>
      <c r="AV158" s="9"/>
      <c r="AW158" s="8"/>
      <c r="AX158" s="9"/>
      <c r="AY158" s="8"/>
      <c r="AZ158" s="9"/>
      <c r="BA158" s="9"/>
      <c r="BB158" s="122"/>
    </row>
    <row r="159" spans="1:54" s="7" customFormat="1" x14ac:dyDescent="0.2">
      <c r="A159" s="235" t="s">
        <v>219</v>
      </c>
      <c r="B159" s="236"/>
      <c r="C159" s="236"/>
      <c r="D159" s="123"/>
      <c r="E159" s="124"/>
      <c r="F159" s="124"/>
      <c r="G159" s="124"/>
      <c r="H159" s="124"/>
      <c r="I159" s="124"/>
      <c r="J159" s="124"/>
      <c r="K159" s="124"/>
      <c r="L159" s="124"/>
      <c r="M159" s="124"/>
      <c r="N159" s="124"/>
      <c r="O159" s="124"/>
      <c r="P159" s="124"/>
      <c r="Q159" s="124"/>
      <c r="R159" s="124"/>
      <c r="S159" s="124"/>
      <c r="T159" s="124"/>
      <c r="U159" s="123"/>
      <c r="V159" s="124"/>
      <c r="W159" s="123"/>
      <c r="X159" s="124"/>
      <c r="Y159" s="236"/>
      <c r="Z159" s="236"/>
      <c r="AA159" s="236"/>
      <c r="AB159" s="236"/>
      <c r="AC159" s="236"/>
      <c r="AD159" s="236"/>
      <c r="AE159" s="123"/>
      <c r="AF159" s="124"/>
      <c r="AG159" s="124"/>
      <c r="AH159" s="124"/>
      <c r="AI159" s="124"/>
      <c r="AJ159" s="123"/>
      <c r="AK159" s="124"/>
      <c r="AL159" s="123"/>
      <c r="AM159" s="124"/>
      <c r="AN159" s="123"/>
      <c r="AO159" s="124"/>
      <c r="AP159" s="124"/>
      <c r="AQ159" s="123"/>
      <c r="AR159" s="124"/>
      <c r="AS159" s="124"/>
      <c r="AT159" s="124"/>
      <c r="AU159" s="123"/>
      <c r="AV159" s="124"/>
      <c r="AW159" s="123"/>
      <c r="AX159" s="124"/>
      <c r="AY159" s="123"/>
      <c r="AZ159" s="124"/>
      <c r="BA159" s="124"/>
      <c r="BB159" s="125"/>
    </row>
    <row r="160" spans="1:54" s="7" customFormat="1" x14ac:dyDescent="0.2">
      <c r="A160" s="230" t="s">
        <v>254</v>
      </c>
      <c r="B160" s="4"/>
      <c r="C160" s="4"/>
      <c r="D160" s="8"/>
      <c r="E160" s="9"/>
      <c r="F160" s="9"/>
      <c r="G160" s="9"/>
      <c r="H160" s="9"/>
      <c r="I160" s="9"/>
      <c r="J160" s="9"/>
      <c r="K160" s="9"/>
      <c r="L160" s="9"/>
      <c r="M160" s="9"/>
      <c r="N160" s="9"/>
      <c r="O160" s="9"/>
      <c r="P160" s="9"/>
      <c r="Q160" s="9"/>
      <c r="R160" s="9"/>
      <c r="S160" s="9"/>
      <c r="T160" s="9"/>
      <c r="U160" s="8"/>
      <c r="V160" s="9"/>
      <c r="W160" s="8"/>
      <c r="X160" s="9"/>
      <c r="Y160" s="4"/>
      <c r="Z160" s="4"/>
      <c r="AA160" s="4"/>
      <c r="AB160" s="4"/>
      <c r="AC160" s="4"/>
      <c r="AD160" s="4"/>
      <c r="AE160" s="8"/>
      <c r="AF160" s="9"/>
      <c r="AG160" s="9"/>
      <c r="AH160" s="9"/>
      <c r="AI160" s="9"/>
      <c r="AJ160" s="8"/>
      <c r="AK160" s="9"/>
      <c r="AL160" s="8"/>
      <c r="AM160" s="9"/>
      <c r="AN160" s="8"/>
      <c r="AO160" s="9"/>
      <c r="AP160" s="9"/>
      <c r="AQ160" s="8"/>
      <c r="AR160" s="9"/>
      <c r="AS160" s="9"/>
      <c r="AT160" s="9"/>
      <c r="AU160" s="8"/>
      <c r="AV160" s="9"/>
      <c r="AW160" s="8"/>
      <c r="AX160" s="9"/>
      <c r="AY160" s="8"/>
      <c r="AZ160" s="9"/>
      <c r="BA160" s="9"/>
      <c r="BB160" s="122"/>
    </row>
    <row r="161" spans="1:54" s="7" customFormat="1" x14ac:dyDescent="0.2">
      <c r="A161" s="237" t="s">
        <v>246</v>
      </c>
      <c r="B161" s="236"/>
      <c r="C161" s="236"/>
      <c r="D161" s="123"/>
      <c r="E161" s="124"/>
      <c r="F161" s="124"/>
      <c r="G161" s="124"/>
      <c r="H161" s="124"/>
      <c r="I161" s="124"/>
      <c r="J161" s="124"/>
      <c r="K161" s="124"/>
      <c r="L161" s="124"/>
      <c r="M161" s="124"/>
      <c r="N161" s="124"/>
      <c r="O161" s="124"/>
      <c r="P161" s="124"/>
      <c r="Q161" s="124"/>
      <c r="R161" s="124"/>
      <c r="S161" s="124"/>
      <c r="T161" s="124"/>
      <c r="U161" s="123"/>
      <c r="V161" s="124"/>
      <c r="W161" s="123"/>
      <c r="X161" s="124"/>
      <c r="Y161" s="236"/>
      <c r="Z161" s="236"/>
      <c r="AA161" s="236"/>
      <c r="AB161" s="236"/>
      <c r="AC161" s="236"/>
      <c r="AD161" s="236"/>
      <c r="AE161" s="123"/>
      <c r="AF161" s="124"/>
      <c r="AG161" s="124"/>
      <c r="AH161" s="124"/>
      <c r="AI161" s="124"/>
      <c r="AJ161" s="123"/>
      <c r="AK161" s="124"/>
      <c r="AL161" s="123"/>
      <c r="AM161" s="124"/>
      <c r="AN161" s="123"/>
      <c r="AO161" s="124"/>
      <c r="AP161" s="124"/>
      <c r="AQ161" s="123"/>
      <c r="AR161" s="124"/>
      <c r="AS161" s="124"/>
      <c r="AT161" s="124"/>
      <c r="AU161" s="123"/>
      <c r="AV161" s="124"/>
      <c r="AW161" s="123"/>
      <c r="AX161" s="124"/>
      <c r="AY161" s="123"/>
      <c r="AZ161" s="124"/>
      <c r="BA161" s="124"/>
      <c r="BB161" s="125"/>
    </row>
    <row r="162" spans="1:54" s="259" customFormat="1" x14ac:dyDescent="0.2">
      <c r="A162" s="238" t="s">
        <v>255</v>
      </c>
      <c r="B162" s="151"/>
      <c r="C162" s="151"/>
      <c r="D162" s="178"/>
      <c r="E162" s="179"/>
      <c r="F162" s="178"/>
      <c r="G162" s="179"/>
      <c r="H162" s="178"/>
      <c r="I162" s="179"/>
      <c r="J162" s="179"/>
      <c r="K162" s="179"/>
      <c r="L162" s="179"/>
      <c r="M162" s="179"/>
      <c r="N162" s="179"/>
      <c r="O162" s="179"/>
      <c r="P162" s="179"/>
      <c r="Q162" s="178"/>
      <c r="R162" s="179"/>
      <c r="S162" s="179"/>
      <c r="T162" s="179"/>
      <c r="U162" s="178"/>
      <c r="V162" s="179"/>
      <c r="W162" s="178"/>
      <c r="X162" s="179"/>
      <c r="Y162" s="151"/>
      <c r="Z162" s="151"/>
      <c r="AA162" s="151"/>
      <c r="AB162" s="151"/>
      <c r="AC162" s="151"/>
      <c r="AD162" s="151"/>
      <c r="AE162" s="178"/>
      <c r="AF162" s="179"/>
      <c r="AG162" s="179"/>
      <c r="AH162" s="179"/>
      <c r="AI162" s="179"/>
      <c r="AJ162" s="178"/>
      <c r="AK162" s="179"/>
      <c r="AL162" s="178"/>
      <c r="AM162" s="179"/>
      <c r="AN162" s="178"/>
      <c r="AO162" s="179"/>
      <c r="AP162" s="179"/>
      <c r="AQ162" s="178"/>
      <c r="AR162" s="179"/>
      <c r="AS162" s="179"/>
      <c r="AT162" s="179"/>
      <c r="AU162" s="178"/>
      <c r="AV162" s="179"/>
      <c r="AW162" s="178"/>
      <c r="AX162" s="179"/>
      <c r="AY162" s="178"/>
      <c r="AZ162" s="179"/>
      <c r="BA162" s="179"/>
      <c r="BB162" s="180"/>
    </row>
    <row r="163" spans="1:54" s="259" customFormat="1" x14ac:dyDescent="0.2">
      <c r="A163" s="239" t="s">
        <v>247</v>
      </c>
      <c r="B163" s="151"/>
      <c r="C163" s="151"/>
      <c r="D163" s="178"/>
      <c r="E163" s="179"/>
      <c r="F163" s="178"/>
      <c r="G163" s="179"/>
      <c r="H163" s="178"/>
      <c r="I163" s="179"/>
      <c r="J163" s="179"/>
      <c r="K163" s="179"/>
      <c r="L163" s="179"/>
      <c r="M163" s="179"/>
      <c r="N163" s="179"/>
      <c r="O163" s="179"/>
      <c r="P163" s="179"/>
      <c r="Q163" s="178"/>
      <c r="R163" s="179"/>
      <c r="S163" s="179"/>
      <c r="T163" s="179"/>
      <c r="U163" s="178"/>
      <c r="V163" s="179"/>
      <c r="W163" s="178"/>
      <c r="X163" s="179"/>
      <c r="Y163" s="151"/>
      <c r="Z163" s="151"/>
      <c r="AA163" s="151"/>
      <c r="AB163" s="151"/>
      <c r="AC163" s="151"/>
      <c r="AD163" s="151"/>
      <c r="AE163" s="178"/>
      <c r="AF163" s="179"/>
      <c r="AG163" s="179"/>
      <c r="AH163" s="179"/>
      <c r="AI163" s="179"/>
      <c r="AJ163" s="178"/>
      <c r="AK163" s="179"/>
      <c r="AL163" s="178"/>
      <c r="AM163" s="179"/>
      <c r="AN163" s="178"/>
      <c r="AO163" s="179"/>
      <c r="AP163" s="179"/>
      <c r="AQ163" s="178"/>
      <c r="AR163" s="179"/>
      <c r="AS163" s="179"/>
      <c r="AT163" s="179"/>
      <c r="AU163" s="178"/>
      <c r="AV163" s="179"/>
      <c r="AW163" s="178"/>
      <c r="AX163" s="179"/>
      <c r="AY163" s="178"/>
      <c r="AZ163" s="179"/>
      <c r="BA163" s="179"/>
      <c r="BB163" s="180"/>
    </row>
    <row r="164" spans="1:54" s="259" customFormat="1" x14ac:dyDescent="0.2">
      <c r="A164" s="260" t="s">
        <v>294</v>
      </c>
      <c r="B164" s="151"/>
      <c r="C164" s="151"/>
      <c r="D164" s="178"/>
      <c r="E164" s="179"/>
      <c r="F164" s="178"/>
      <c r="G164" s="179"/>
      <c r="H164" s="178"/>
      <c r="I164" s="179"/>
      <c r="J164" s="179"/>
      <c r="K164" s="179"/>
      <c r="L164" s="179"/>
      <c r="M164" s="179"/>
      <c r="N164" s="179"/>
      <c r="O164" s="179"/>
      <c r="P164" s="179"/>
      <c r="Q164" s="178"/>
      <c r="R164" s="179"/>
      <c r="S164" s="179"/>
      <c r="T164" s="179"/>
      <c r="U164" s="178"/>
      <c r="V164" s="179"/>
      <c r="W164" s="178"/>
      <c r="X164" s="179"/>
      <c r="Y164" s="151"/>
      <c r="Z164" s="151"/>
      <c r="AA164" s="151"/>
      <c r="AB164" s="151"/>
      <c r="AC164" s="151"/>
      <c r="AD164" s="151"/>
      <c r="AE164" s="178"/>
      <c r="AF164" s="179"/>
      <c r="AG164" s="179"/>
      <c r="AH164" s="179"/>
      <c r="AI164" s="179"/>
      <c r="AJ164" s="178"/>
      <c r="AK164" s="179"/>
      <c r="AL164" s="178"/>
      <c r="AM164" s="179"/>
      <c r="AN164" s="178"/>
      <c r="AO164" s="179"/>
      <c r="AP164" s="179"/>
      <c r="AQ164" s="178"/>
      <c r="AR164" s="179"/>
      <c r="AS164" s="179"/>
      <c r="AT164" s="179"/>
      <c r="AU164" s="178"/>
      <c r="AV164" s="179"/>
      <c r="AW164" s="178"/>
      <c r="AX164" s="179"/>
      <c r="AY164" s="178"/>
      <c r="AZ164" s="179"/>
      <c r="BA164" s="179"/>
      <c r="BB164" s="180"/>
    </row>
    <row r="165" spans="1:54" s="266" customFormat="1" x14ac:dyDescent="0.2">
      <c r="A165" s="261" t="s">
        <v>288</v>
      </c>
      <c r="B165" s="262"/>
      <c r="C165" s="262"/>
      <c r="D165" s="263"/>
      <c r="E165" s="264"/>
      <c r="F165" s="263"/>
      <c r="G165" s="264"/>
      <c r="H165" s="263"/>
      <c r="I165" s="264"/>
      <c r="J165" s="264"/>
      <c r="K165" s="264"/>
      <c r="L165" s="264"/>
      <c r="M165" s="264"/>
      <c r="N165" s="264"/>
      <c r="O165" s="264"/>
      <c r="P165" s="264"/>
      <c r="Q165" s="263"/>
      <c r="R165" s="264"/>
      <c r="S165" s="264"/>
      <c r="T165" s="264"/>
      <c r="U165" s="263"/>
      <c r="V165" s="264"/>
      <c r="W165" s="263"/>
      <c r="X165" s="264"/>
      <c r="Y165" s="262"/>
      <c r="Z165" s="262"/>
      <c r="AA165" s="262"/>
      <c r="AB165" s="262"/>
      <c r="AC165" s="262"/>
      <c r="AD165" s="262"/>
      <c r="AE165" s="263"/>
      <c r="AF165" s="264"/>
      <c r="AG165" s="264"/>
      <c r="AH165" s="264"/>
      <c r="AI165" s="264"/>
      <c r="AJ165" s="263"/>
      <c r="AK165" s="264"/>
      <c r="AL165" s="263"/>
      <c r="AM165" s="264"/>
      <c r="AN165" s="263"/>
      <c r="AO165" s="264"/>
      <c r="AP165" s="264"/>
      <c r="AQ165" s="263"/>
      <c r="AR165" s="264"/>
      <c r="AS165" s="264"/>
      <c r="AT165" s="264"/>
      <c r="AU165" s="263"/>
      <c r="AV165" s="264"/>
      <c r="AW165" s="263"/>
      <c r="AX165" s="264"/>
      <c r="AY165" s="263"/>
      <c r="AZ165" s="264"/>
      <c r="BA165" s="264"/>
      <c r="BB165" s="265"/>
    </row>
    <row r="166" spans="1:54" s="259" customFormat="1" x14ac:dyDescent="0.2">
      <c r="A166" s="267" t="s">
        <v>276</v>
      </c>
      <c r="B166" s="151"/>
      <c r="C166" s="151"/>
      <c r="D166" s="178"/>
      <c r="E166" s="179"/>
      <c r="F166" s="178"/>
      <c r="G166" s="179"/>
      <c r="H166" s="178"/>
      <c r="I166" s="179"/>
      <c r="J166" s="179"/>
      <c r="K166" s="179"/>
      <c r="L166" s="179"/>
      <c r="M166" s="179"/>
      <c r="N166" s="179"/>
      <c r="O166" s="179"/>
      <c r="P166" s="179"/>
      <c r="Q166" s="178"/>
      <c r="R166" s="179"/>
      <c r="S166" s="179"/>
      <c r="T166" s="179"/>
      <c r="U166" s="178"/>
      <c r="V166" s="179"/>
      <c r="W166" s="178"/>
      <c r="X166" s="179"/>
      <c r="Y166" s="151"/>
      <c r="Z166" s="151"/>
      <c r="AA166" s="151"/>
      <c r="AB166" s="151"/>
      <c r="AC166" s="151"/>
      <c r="AD166" s="151"/>
      <c r="AE166" s="178"/>
      <c r="AF166" s="179"/>
      <c r="AG166" s="179"/>
      <c r="AH166" s="179"/>
      <c r="AI166" s="179"/>
      <c r="AJ166" s="178"/>
      <c r="AK166" s="179"/>
      <c r="AL166" s="178"/>
      <c r="AM166" s="179"/>
      <c r="AN166" s="178"/>
      <c r="AO166" s="179"/>
      <c r="AP166" s="179"/>
      <c r="AQ166" s="178"/>
      <c r="AR166" s="179"/>
      <c r="AS166" s="179"/>
      <c r="AT166" s="179"/>
      <c r="AU166" s="178"/>
      <c r="AV166" s="179"/>
      <c r="AW166" s="178"/>
      <c r="AX166" s="179"/>
      <c r="AY166" s="178"/>
      <c r="AZ166" s="179"/>
      <c r="BA166" s="179"/>
      <c r="BB166" s="180"/>
    </row>
    <row r="167" spans="1:54" s="268" customFormat="1" x14ac:dyDescent="0.2">
      <c r="A167" s="235"/>
      <c r="B167" s="236"/>
      <c r="C167" s="236"/>
      <c r="D167" s="123"/>
      <c r="E167" s="124"/>
      <c r="F167" s="123"/>
      <c r="G167" s="124"/>
      <c r="H167" s="123"/>
      <c r="I167" s="124"/>
      <c r="J167" s="124"/>
      <c r="K167" s="124"/>
      <c r="L167" s="124"/>
      <c r="M167" s="124"/>
      <c r="N167" s="124"/>
      <c r="O167" s="124"/>
      <c r="P167" s="124"/>
      <c r="Q167" s="123"/>
      <c r="R167" s="124"/>
      <c r="S167" s="124"/>
      <c r="T167" s="124"/>
      <c r="U167" s="123"/>
      <c r="V167" s="124"/>
      <c r="W167" s="123"/>
      <c r="X167" s="124"/>
      <c r="Y167" s="236"/>
      <c r="Z167" s="236"/>
      <c r="AA167" s="236"/>
      <c r="AB167" s="236"/>
      <c r="AC167" s="236"/>
      <c r="AD167" s="236"/>
      <c r="AE167" s="123"/>
      <c r="AF167" s="124"/>
      <c r="AG167" s="124"/>
      <c r="AH167" s="124"/>
      <c r="AI167" s="124"/>
      <c r="AJ167" s="123"/>
      <c r="AK167" s="124"/>
      <c r="AL167" s="123"/>
      <c r="AM167" s="124"/>
      <c r="AN167" s="123"/>
      <c r="AO167" s="124"/>
      <c r="AP167" s="124"/>
      <c r="AQ167" s="123"/>
      <c r="AR167" s="124"/>
      <c r="AS167" s="124"/>
      <c r="AT167" s="124"/>
      <c r="AU167" s="123"/>
      <c r="AV167" s="124"/>
      <c r="AW167" s="123"/>
      <c r="AX167" s="124"/>
      <c r="AY167" s="123"/>
      <c r="AZ167" s="124"/>
      <c r="BA167" s="124"/>
      <c r="BB167" s="125"/>
    </row>
    <row r="168" spans="1:54" s="268" customFormat="1" x14ac:dyDescent="0.2">
      <c r="A168" s="283" t="s">
        <v>148</v>
      </c>
      <c r="B168" s="284"/>
      <c r="C168" s="285"/>
      <c r="D168" s="286"/>
      <c r="E168" s="287"/>
      <c r="F168" s="286"/>
      <c r="G168" s="287"/>
      <c r="H168" s="286"/>
      <c r="I168" s="287"/>
      <c r="J168" s="287"/>
      <c r="K168" s="287"/>
      <c r="L168" s="287"/>
      <c r="M168" s="287"/>
      <c r="N168" s="287"/>
      <c r="O168" s="287"/>
      <c r="P168" s="287"/>
      <c r="Q168" s="286"/>
      <c r="R168" s="287"/>
      <c r="S168" s="287"/>
      <c r="T168" s="287"/>
      <c r="U168" s="286"/>
      <c r="V168" s="287"/>
      <c r="W168" s="286"/>
      <c r="X168" s="287"/>
      <c r="Y168" s="284"/>
      <c r="Z168" s="284"/>
      <c r="AA168" s="284"/>
      <c r="AB168" s="284"/>
      <c r="AC168" s="284"/>
      <c r="AD168" s="284"/>
      <c r="AE168" s="286"/>
      <c r="AF168" s="287"/>
      <c r="AG168" s="287"/>
      <c r="AH168" s="287"/>
      <c r="AI168" s="287"/>
      <c r="AJ168" s="286"/>
      <c r="AK168" s="287"/>
      <c r="AL168" s="286"/>
      <c r="AM168" s="287"/>
      <c r="AN168" s="286"/>
      <c r="AO168" s="287"/>
      <c r="AP168" s="287"/>
      <c r="AQ168" s="286"/>
      <c r="AR168" s="287"/>
      <c r="AS168" s="287"/>
      <c r="AT168" s="287"/>
      <c r="AU168" s="286"/>
      <c r="AV168" s="287"/>
      <c r="AW168" s="286"/>
      <c r="AX168" s="287"/>
      <c r="AY168" s="286"/>
      <c r="AZ168" s="287"/>
      <c r="BA168" s="287"/>
      <c r="BB168" s="288"/>
    </row>
    <row r="169" spans="1:54" s="7" customFormat="1" x14ac:dyDescent="0.2">
      <c r="A169" s="289" t="s">
        <v>159</v>
      </c>
      <c r="B169" s="290"/>
      <c r="C169" s="290"/>
      <c r="D169" s="290"/>
      <c r="E169" s="290"/>
      <c r="F169" s="291"/>
      <c r="G169" s="290"/>
      <c r="H169" s="291"/>
      <c r="I169" s="290"/>
      <c r="J169" s="290"/>
      <c r="K169" s="290"/>
      <c r="L169" s="290"/>
      <c r="M169" s="290"/>
      <c r="N169" s="290"/>
      <c r="O169" s="290"/>
      <c r="P169" s="290"/>
      <c r="Q169" s="291"/>
      <c r="R169" s="290"/>
      <c r="S169" s="290"/>
      <c r="T169" s="290"/>
      <c r="U169" s="290"/>
      <c r="V169" s="290"/>
      <c r="W169" s="290"/>
      <c r="X169" s="290"/>
      <c r="Y169" s="290"/>
      <c r="Z169" s="290"/>
      <c r="AA169" s="290"/>
      <c r="AB169" s="290"/>
      <c r="AC169" s="290"/>
      <c r="AD169" s="290"/>
      <c r="AE169" s="290"/>
      <c r="AF169" s="290"/>
      <c r="AG169" s="290"/>
      <c r="AH169" s="290"/>
      <c r="AI169" s="290"/>
      <c r="AJ169" s="292"/>
      <c r="AK169" s="290"/>
      <c r="AL169" s="292"/>
      <c r="AM169" s="290"/>
      <c r="AN169" s="291"/>
      <c r="AO169" s="290"/>
      <c r="AP169" s="290"/>
      <c r="AQ169" s="291"/>
      <c r="AR169" s="290"/>
      <c r="AS169" s="290"/>
      <c r="AT169" s="290"/>
      <c r="AU169" s="291"/>
      <c r="AV169" s="290"/>
      <c r="AW169" s="293"/>
      <c r="AX169" s="290"/>
      <c r="AY169" s="291"/>
      <c r="AZ169" s="294"/>
      <c r="BA169" s="290"/>
      <c r="BB169" s="295"/>
    </row>
    <row r="170" spans="1:54" s="7" customFormat="1" x14ac:dyDescent="0.2">
      <c r="A170" s="296"/>
      <c r="B170" s="297"/>
      <c r="C170" s="298"/>
      <c r="D170" s="299"/>
      <c r="E170" s="300"/>
      <c r="F170" s="299"/>
      <c r="G170" s="300"/>
      <c r="H170" s="299"/>
      <c r="I170" s="300"/>
      <c r="J170" s="300"/>
      <c r="K170" s="300"/>
      <c r="L170" s="300"/>
      <c r="M170" s="300"/>
      <c r="N170" s="300"/>
      <c r="O170" s="300"/>
      <c r="P170" s="300"/>
      <c r="Q170" s="299"/>
      <c r="R170" s="300"/>
      <c r="S170" s="300"/>
      <c r="T170" s="300"/>
      <c r="U170" s="299"/>
      <c r="V170" s="300"/>
      <c r="W170" s="299"/>
      <c r="X170" s="300"/>
      <c r="Y170" s="297"/>
      <c r="Z170" s="297"/>
      <c r="AA170" s="297"/>
      <c r="AB170" s="297"/>
      <c r="AC170" s="297"/>
      <c r="AD170" s="297"/>
      <c r="AE170" s="299"/>
      <c r="AF170" s="300"/>
      <c r="AG170" s="300"/>
      <c r="AH170" s="300"/>
      <c r="AI170" s="300"/>
      <c r="AJ170" s="299"/>
      <c r="AK170" s="300"/>
      <c r="AL170" s="299"/>
      <c r="AM170" s="300"/>
      <c r="AN170" s="299"/>
      <c r="AO170" s="300"/>
      <c r="AP170" s="300"/>
      <c r="AQ170" s="299"/>
      <c r="AR170" s="300"/>
      <c r="AS170" s="300"/>
      <c r="AT170" s="300"/>
      <c r="AU170" s="299"/>
      <c r="AV170" s="300"/>
      <c r="AW170" s="299"/>
      <c r="AX170" s="300"/>
      <c r="AY170" s="299"/>
      <c r="AZ170" s="300"/>
      <c r="BA170" s="300"/>
      <c r="BB170" s="301"/>
    </row>
    <row r="171" spans="1:54" s="7" customFormat="1" x14ac:dyDescent="0.2">
      <c r="A171" s="126" t="s">
        <v>161</v>
      </c>
      <c r="B171" s="127"/>
      <c r="C171" s="128"/>
      <c r="D171" s="129"/>
      <c r="E171" s="130"/>
      <c r="F171" s="129"/>
      <c r="G171" s="130"/>
      <c r="H171" s="129"/>
      <c r="I171" s="130"/>
      <c r="J171" s="130"/>
      <c r="K171" s="130"/>
      <c r="L171" s="130"/>
      <c r="M171" s="130"/>
      <c r="N171" s="130"/>
      <c r="O171" s="130"/>
      <c r="P171" s="130"/>
      <c r="Q171" s="129"/>
      <c r="R171" s="130"/>
      <c r="S171" s="130"/>
      <c r="T171" s="130"/>
      <c r="U171" s="129"/>
      <c r="V171" s="130"/>
      <c r="W171" s="129"/>
      <c r="X171" s="130"/>
      <c r="Y171" s="127"/>
      <c r="Z171" s="127"/>
      <c r="AA171" s="127"/>
      <c r="AB171" s="127"/>
      <c r="AC171" s="127"/>
      <c r="AD171" s="127"/>
      <c r="AE171" s="129"/>
      <c r="AF171" s="130"/>
      <c r="AG171" s="130"/>
      <c r="AH171" s="130"/>
      <c r="AI171" s="130"/>
      <c r="AJ171" s="129"/>
      <c r="AK171" s="130"/>
      <c r="AL171" s="129"/>
      <c r="AM171" s="130"/>
      <c r="AN171" s="129"/>
      <c r="AO171" s="130"/>
      <c r="AP171" s="130"/>
      <c r="AQ171" s="129"/>
      <c r="AR171" s="130"/>
      <c r="AS171" s="130"/>
      <c r="AT171" s="130"/>
      <c r="AU171" s="129"/>
      <c r="AV171" s="130"/>
      <c r="AW171" s="129"/>
      <c r="AX171" s="130"/>
      <c r="AY171" s="129"/>
      <c r="AZ171" s="130"/>
      <c r="BA171" s="130"/>
      <c r="BB171" s="131"/>
    </row>
    <row r="172" spans="1:54" s="7" customFormat="1" x14ac:dyDescent="0.2">
      <c r="A172" s="240" t="s">
        <v>162</v>
      </c>
      <c r="B172" s="241"/>
      <c r="C172" s="241"/>
      <c r="D172" s="241"/>
      <c r="E172" s="241"/>
      <c r="F172" s="177"/>
      <c r="G172" s="241"/>
      <c r="H172" s="177"/>
      <c r="I172" s="241"/>
      <c r="J172" s="241"/>
      <c r="K172" s="241"/>
      <c r="L172" s="241"/>
      <c r="M172" s="241"/>
      <c r="N172" s="241"/>
      <c r="O172" s="241"/>
      <c r="P172" s="241"/>
      <c r="Q172" s="177"/>
      <c r="R172" s="241"/>
      <c r="S172" s="241"/>
      <c r="T172" s="241"/>
      <c r="U172" s="241"/>
      <c r="V172" s="241"/>
      <c r="W172" s="241"/>
      <c r="X172" s="241"/>
      <c r="Y172" s="241"/>
      <c r="Z172" s="241"/>
      <c r="AA172" s="241"/>
      <c r="AB172" s="241"/>
      <c r="AC172" s="241"/>
      <c r="AD172" s="241"/>
      <c r="AE172" s="241"/>
      <c r="AF172" s="241"/>
      <c r="AG172" s="241"/>
      <c r="AH172" s="241"/>
      <c r="AI172" s="241"/>
      <c r="AJ172" s="242"/>
      <c r="AK172" s="241"/>
      <c r="AL172" s="242"/>
      <c r="AM172" s="241"/>
      <c r="AN172" s="177"/>
      <c r="AO172" s="241"/>
      <c r="AP172" s="241"/>
      <c r="AQ172" s="177"/>
      <c r="AR172" s="241"/>
      <c r="AS172" s="241"/>
      <c r="AT172" s="241"/>
      <c r="AU172" s="177"/>
      <c r="AV172" s="241"/>
      <c r="AW172" s="282"/>
      <c r="AX172" s="241"/>
      <c r="AY172" s="177"/>
      <c r="AZ172" s="188"/>
      <c r="BA172" s="241"/>
      <c r="BB172" s="132"/>
    </row>
    <row r="173" spans="1:54" s="7" customFormat="1" x14ac:dyDescent="0.2">
      <c r="A173" s="240" t="s">
        <v>163</v>
      </c>
      <c r="B173" s="241"/>
      <c r="C173" s="241"/>
      <c r="D173" s="241"/>
      <c r="E173" s="241"/>
      <c r="F173" s="177"/>
      <c r="G173" s="241"/>
      <c r="H173" s="177"/>
      <c r="I173" s="241"/>
      <c r="J173" s="241"/>
      <c r="K173" s="241"/>
      <c r="L173" s="241"/>
      <c r="M173" s="241"/>
      <c r="N173" s="241"/>
      <c r="O173" s="241"/>
      <c r="P173" s="241"/>
      <c r="Q173" s="177"/>
      <c r="R173" s="241"/>
      <c r="S173" s="241"/>
      <c r="T173" s="241"/>
      <c r="U173" s="241"/>
      <c r="V173" s="241"/>
      <c r="W173" s="241"/>
      <c r="X173" s="241"/>
      <c r="Y173" s="241"/>
      <c r="Z173" s="241"/>
      <c r="AA173" s="241"/>
      <c r="AB173" s="241"/>
      <c r="AC173" s="241"/>
      <c r="AD173" s="241"/>
      <c r="AE173" s="241"/>
      <c r="AF173" s="241"/>
      <c r="AG173" s="241"/>
      <c r="AH173" s="241"/>
      <c r="AI173" s="241"/>
      <c r="AJ173" s="242"/>
      <c r="AK173" s="241"/>
      <c r="AL173" s="242"/>
      <c r="AM173" s="241"/>
      <c r="AN173" s="177"/>
      <c r="AO173" s="241"/>
      <c r="AP173" s="241"/>
      <c r="AQ173" s="177"/>
      <c r="AR173" s="241"/>
      <c r="AS173" s="241"/>
      <c r="AT173" s="241"/>
      <c r="AU173" s="177"/>
      <c r="AV173" s="241"/>
      <c r="AW173" s="282"/>
      <c r="AX173" s="241"/>
      <c r="AY173" s="177"/>
      <c r="AZ173" s="188"/>
      <c r="BA173" s="241"/>
      <c r="BB173" s="132"/>
    </row>
    <row r="174" spans="1:54" s="7" customFormat="1" x14ac:dyDescent="0.2">
      <c r="A174" s="240" t="s">
        <v>164</v>
      </c>
      <c r="B174" s="241"/>
      <c r="C174" s="241"/>
      <c r="D174" s="241"/>
      <c r="E174" s="241"/>
      <c r="F174" s="177"/>
      <c r="G174" s="241"/>
      <c r="H174" s="177"/>
      <c r="I174" s="241"/>
      <c r="J174" s="241"/>
      <c r="K174" s="241"/>
      <c r="L174" s="241"/>
      <c r="M174" s="241"/>
      <c r="N174" s="241"/>
      <c r="O174" s="241"/>
      <c r="P174" s="241"/>
      <c r="Q174" s="177"/>
      <c r="R174" s="241"/>
      <c r="S174" s="241"/>
      <c r="T174" s="241"/>
      <c r="U174" s="241"/>
      <c r="V174" s="241"/>
      <c r="W174" s="241"/>
      <c r="X174" s="241"/>
      <c r="Y174" s="241"/>
      <c r="Z174" s="241"/>
      <c r="AA174" s="241"/>
      <c r="AB174" s="241"/>
      <c r="AC174" s="241"/>
      <c r="AD174" s="241"/>
      <c r="AE174" s="241"/>
      <c r="AF174" s="241"/>
      <c r="AG174" s="241"/>
      <c r="AH174" s="241"/>
      <c r="AI174" s="241"/>
      <c r="AJ174" s="242"/>
      <c r="AK174" s="241"/>
      <c r="AL174" s="242"/>
      <c r="AM174" s="241"/>
      <c r="AN174" s="177"/>
      <c r="AO174" s="241"/>
      <c r="AP174" s="241"/>
      <c r="AQ174" s="177"/>
      <c r="AR174" s="241"/>
      <c r="AS174" s="241"/>
      <c r="AT174" s="241"/>
      <c r="AU174" s="177"/>
      <c r="AV174" s="241"/>
      <c r="AW174" s="282"/>
      <c r="AX174" s="241"/>
      <c r="AY174" s="177"/>
      <c r="AZ174" s="188"/>
      <c r="BA174" s="241"/>
      <c r="BB174" s="132"/>
    </row>
    <row r="175" spans="1:54" s="7" customFormat="1" x14ac:dyDescent="0.2">
      <c r="A175" s="240" t="s">
        <v>165</v>
      </c>
      <c r="B175" s="241"/>
      <c r="C175" s="241"/>
      <c r="D175" s="241"/>
      <c r="E175" s="241"/>
      <c r="F175" s="177"/>
      <c r="G175" s="241"/>
      <c r="H175" s="177"/>
      <c r="I175" s="241"/>
      <c r="J175" s="241"/>
      <c r="K175" s="241"/>
      <c r="L175" s="241"/>
      <c r="M175" s="241"/>
      <c r="N175" s="241"/>
      <c r="O175" s="241"/>
      <c r="P175" s="241"/>
      <c r="Q175" s="177"/>
      <c r="R175" s="241"/>
      <c r="S175" s="241"/>
      <c r="T175" s="241"/>
      <c r="U175" s="241"/>
      <c r="V175" s="241"/>
      <c r="W175" s="241"/>
      <c r="X175" s="241"/>
      <c r="Y175" s="241"/>
      <c r="Z175" s="241"/>
      <c r="AA175" s="241"/>
      <c r="AB175" s="241"/>
      <c r="AC175" s="241"/>
      <c r="AD175" s="241"/>
      <c r="AE175" s="241"/>
      <c r="AF175" s="241"/>
      <c r="AG175" s="241"/>
      <c r="AH175" s="241"/>
      <c r="AI175" s="241"/>
      <c r="AJ175" s="242"/>
      <c r="AK175" s="241"/>
      <c r="AL175" s="242"/>
      <c r="AM175" s="241"/>
      <c r="AN175" s="177"/>
      <c r="AO175" s="241"/>
      <c r="AP175" s="241"/>
      <c r="AQ175" s="177"/>
      <c r="AR175" s="241"/>
      <c r="AS175" s="241"/>
      <c r="AT175" s="241"/>
      <c r="AU175" s="177"/>
      <c r="AV175" s="241"/>
      <c r="AW175" s="282"/>
      <c r="AX175" s="241"/>
      <c r="AY175" s="177"/>
      <c r="AZ175" s="188"/>
      <c r="BA175" s="241"/>
      <c r="BB175" s="132"/>
    </row>
    <row r="176" spans="1:54" s="7" customFormat="1" x14ac:dyDescent="0.2">
      <c r="A176" s="240" t="s">
        <v>166</v>
      </c>
      <c r="B176" s="241"/>
      <c r="C176" s="241"/>
      <c r="D176" s="241"/>
      <c r="E176" s="241"/>
      <c r="F176" s="177"/>
      <c r="G176" s="241"/>
      <c r="H176" s="177"/>
      <c r="I176" s="241"/>
      <c r="J176" s="241"/>
      <c r="K176" s="241"/>
      <c r="L176" s="241"/>
      <c r="M176" s="241"/>
      <c r="N176" s="241"/>
      <c r="O176" s="241"/>
      <c r="P176" s="241"/>
      <c r="Q176" s="177"/>
      <c r="R176" s="241"/>
      <c r="S176" s="241"/>
      <c r="T176" s="241"/>
      <c r="U176" s="241"/>
      <c r="V176" s="241"/>
      <c r="W176" s="241"/>
      <c r="X176" s="241"/>
      <c r="Y176" s="241"/>
      <c r="Z176" s="241"/>
      <c r="AA176" s="241"/>
      <c r="AB176" s="241"/>
      <c r="AC176" s="241"/>
      <c r="AD176" s="241"/>
      <c r="AE176" s="241"/>
      <c r="AF176" s="241"/>
      <c r="AG176" s="241"/>
      <c r="AH176" s="241"/>
      <c r="AI176" s="241"/>
      <c r="AJ176" s="242"/>
      <c r="AK176" s="241"/>
      <c r="AL176" s="242"/>
      <c r="AM176" s="241"/>
      <c r="AN176" s="177"/>
      <c r="AO176" s="241"/>
      <c r="AP176" s="241"/>
      <c r="AQ176" s="177"/>
      <c r="AR176" s="241"/>
      <c r="AS176" s="241"/>
      <c r="AT176" s="241"/>
      <c r="AU176" s="177"/>
      <c r="AV176" s="241"/>
      <c r="AW176" s="282"/>
      <c r="AX176" s="241"/>
      <c r="AY176" s="177"/>
      <c r="AZ176" s="188"/>
      <c r="BA176" s="241"/>
      <c r="BB176" s="132"/>
    </row>
    <row r="177" spans="1:54" s="7" customFormat="1" x14ac:dyDescent="0.2">
      <c r="A177" s="133"/>
      <c r="B177" s="134"/>
      <c r="C177" s="135"/>
      <c r="D177" s="136"/>
      <c r="E177" s="137"/>
      <c r="F177" s="136"/>
      <c r="G177" s="137"/>
      <c r="H177" s="136"/>
      <c r="I177" s="137"/>
      <c r="J177" s="137"/>
      <c r="K177" s="137"/>
      <c r="L177" s="137"/>
      <c r="M177" s="137"/>
      <c r="N177" s="137"/>
      <c r="O177" s="137"/>
      <c r="P177" s="137"/>
      <c r="Q177" s="136"/>
      <c r="R177" s="137"/>
      <c r="S177" s="137"/>
      <c r="T177" s="137"/>
      <c r="U177" s="136"/>
      <c r="V177" s="137"/>
      <c r="W177" s="136"/>
      <c r="X177" s="137"/>
      <c r="Y177" s="134"/>
      <c r="Z177" s="134"/>
      <c r="AA177" s="134"/>
      <c r="AB177" s="134"/>
      <c r="AC177" s="134"/>
      <c r="AD177" s="134"/>
      <c r="AE177" s="136"/>
      <c r="AF177" s="137"/>
      <c r="AG177" s="137"/>
      <c r="AH177" s="137"/>
      <c r="AI177" s="137"/>
      <c r="AJ177" s="136"/>
      <c r="AK177" s="137"/>
      <c r="AL177" s="136"/>
      <c r="AM177" s="137"/>
      <c r="AN177" s="136"/>
      <c r="AO177" s="137"/>
      <c r="AP177" s="137"/>
      <c r="AQ177" s="136"/>
      <c r="AR177" s="137"/>
      <c r="AS177" s="137"/>
      <c r="AT177" s="137"/>
      <c r="AU177" s="136"/>
      <c r="AV177" s="137"/>
      <c r="AW177" s="136"/>
      <c r="AX177" s="137"/>
      <c r="AY177" s="136"/>
      <c r="AZ177" s="137"/>
      <c r="BA177" s="137"/>
      <c r="BB177" s="138"/>
    </row>
  </sheetData>
  <sheetProtection algorithmName="SHA-512" hashValue="gCZ8m1uQXWJDJOgQEnvwPX8zaS/YDtoPt0MzHkSDncUg12GyPuvzmOn0y3EVXpc9XMyCaIlf87WfeKTfPKwxQA==" saltValue="v0q2zARBYjMK2VSlJgS6Sw==" spinCount="100000" sheet="1" formatCells="0" formatColumns="0" formatRows="0"/>
  <mergeCells count="9">
    <mergeCell ref="AJ4:AM4"/>
    <mergeCell ref="AN4:AP4"/>
    <mergeCell ref="AQ4:AT4"/>
    <mergeCell ref="AU4:BB4"/>
    <mergeCell ref="D4:E4"/>
    <mergeCell ref="Q4:T4"/>
    <mergeCell ref="U4:AD4"/>
    <mergeCell ref="AE4:AI4"/>
    <mergeCell ref="F4:P4"/>
  </mergeCells>
  <phoneticPr fontId="0" type="noConversion"/>
  <printOptions horizontalCentered="1" gridLines="1"/>
  <pageMargins left="0.25" right="0.25" top="0.21" bottom="0.28000000000000003" header="0.12" footer="0.17"/>
  <pageSetup paperSize="9" scale="56" fitToWidth="4" fitToHeight="10" orientation="landscape" r:id="rId1"/>
  <headerFooter alignWithMargins="0">
    <oddFooter>Page &amp;P of &amp;N</oddFooter>
  </headerFooter>
  <colBreaks count="3" manualBreakCount="3">
    <brk id="16" max="141" man="1"/>
    <brk id="30" max="141" man="1"/>
    <brk id="42" max="141"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64"/>
  <sheetViews>
    <sheetView zoomScale="80" zoomScaleNormal="80" workbookViewId="0">
      <selection activeCell="J10" sqref="J10"/>
    </sheetView>
  </sheetViews>
  <sheetFormatPr defaultColWidth="11.42578125" defaultRowHeight="15" x14ac:dyDescent="0.25"/>
  <cols>
    <col min="1" max="1" width="33.28515625" style="212" customWidth="1"/>
    <col min="2" max="2" width="5.5703125" style="225" bestFit="1" customWidth="1"/>
    <col min="3" max="3" width="9.85546875" style="226" customWidth="1"/>
    <col min="4" max="4" width="10.28515625" style="226" customWidth="1"/>
    <col min="5" max="5" width="9.42578125" style="226" bestFit="1" customWidth="1"/>
    <col min="6" max="6" width="12.42578125" style="226" customWidth="1"/>
    <col min="7" max="7" width="9.28515625" style="226" customWidth="1"/>
    <col min="8" max="8" width="12.28515625" style="226" customWidth="1"/>
    <col min="9" max="9" width="8.140625" style="226" bestFit="1" customWidth="1"/>
    <col min="10" max="10" width="9.5703125" style="227" customWidth="1"/>
    <col min="11" max="12" width="11.42578125" style="203"/>
    <col min="13" max="13" width="14.85546875" style="228" bestFit="1" customWidth="1"/>
    <col min="14" max="14" width="9.85546875" style="228" bestFit="1" customWidth="1"/>
    <col min="15" max="16" width="9.28515625" style="228" bestFit="1" customWidth="1"/>
    <col min="17" max="19" width="10.7109375" style="228" bestFit="1" customWidth="1"/>
    <col min="20" max="16384" width="11.42578125" style="214"/>
  </cols>
  <sheetData>
    <row r="1" spans="1:19" s="212" customFormat="1" ht="45" x14ac:dyDescent="0.25">
      <c r="A1" s="306" t="s">
        <v>248</v>
      </c>
      <c r="B1" s="307"/>
      <c r="C1" s="308">
        <v>1204</v>
      </c>
      <c r="D1" s="307">
        <v>3604</v>
      </c>
      <c r="E1" s="307">
        <v>4076</v>
      </c>
      <c r="F1" s="307">
        <v>3620</v>
      </c>
      <c r="G1" s="308" t="s">
        <v>198</v>
      </c>
      <c r="H1" s="307">
        <v>4561</v>
      </c>
      <c r="I1" s="307" t="s">
        <v>226</v>
      </c>
      <c r="J1" s="309" t="s">
        <v>236</v>
      </c>
      <c r="K1" s="310" t="s">
        <v>228</v>
      </c>
      <c r="L1" s="310" t="s">
        <v>229</v>
      </c>
      <c r="M1" s="309" t="s">
        <v>230</v>
      </c>
      <c r="N1" s="309" t="s">
        <v>231</v>
      </c>
      <c r="O1" s="309" t="s">
        <v>232</v>
      </c>
      <c r="P1" s="309" t="s">
        <v>233</v>
      </c>
      <c r="Q1" s="309" t="s">
        <v>234</v>
      </c>
      <c r="R1" s="309" t="s">
        <v>235</v>
      </c>
      <c r="S1" s="309" t="s">
        <v>245</v>
      </c>
    </row>
    <row r="2" spans="1:19" s="213" customFormat="1" ht="30" x14ac:dyDescent="0.25">
      <c r="A2" s="311" t="s">
        <v>249</v>
      </c>
      <c r="B2" s="312"/>
      <c r="C2" s="313">
        <v>30</v>
      </c>
      <c r="D2" s="312">
        <v>77</v>
      </c>
      <c r="E2" s="312">
        <v>19.100000000000001</v>
      </c>
      <c r="F2" s="312">
        <v>50</v>
      </c>
      <c r="G2" s="313">
        <v>7.5</v>
      </c>
      <c r="H2" s="312" t="s">
        <v>250</v>
      </c>
      <c r="I2" s="312"/>
      <c r="J2" s="314"/>
      <c r="K2" s="309"/>
      <c r="L2" s="309"/>
      <c r="M2" s="309"/>
      <c r="N2" s="309"/>
      <c r="O2" s="309"/>
      <c r="P2" s="309"/>
      <c r="Q2" s="309"/>
      <c r="R2" s="309"/>
      <c r="S2" s="309"/>
    </row>
    <row r="3" spans="1:19" s="212" customFormat="1" x14ac:dyDescent="0.25">
      <c r="A3" s="306"/>
      <c r="B3" s="307"/>
      <c r="C3" s="308" t="s">
        <v>199</v>
      </c>
      <c r="D3" s="307" t="s">
        <v>200</v>
      </c>
      <c r="E3" s="307" t="s">
        <v>201</v>
      </c>
      <c r="F3" s="307" t="s">
        <v>202</v>
      </c>
      <c r="G3" s="308"/>
      <c r="H3" s="307" t="s">
        <v>203</v>
      </c>
      <c r="I3" s="307"/>
      <c r="J3" s="315"/>
      <c r="K3" s="310"/>
      <c r="L3" s="310"/>
      <c r="M3" s="309"/>
      <c r="N3" s="309"/>
      <c r="O3" s="309"/>
      <c r="P3" s="309"/>
      <c r="Q3" s="309"/>
      <c r="R3" s="309"/>
      <c r="S3" s="309"/>
    </row>
    <row r="4" spans="1:19" x14ac:dyDescent="0.25">
      <c r="A4" s="191" t="s">
        <v>204</v>
      </c>
      <c r="B4" s="192">
        <v>2023</v>
      </c>
      <c r="C4" s="193">
        <v>16.707999999999998</v>
      </c>
      <c r="D4" s="193">
        <v>23.67</v>
      </c>
      <c r="E4" s="193">
        <v>19.315000000000001</v>
      </c>
      <c r="F4" s="193">
        <v>15.925000000000001</v>
      </c>
      <c r="G4" s="193"/>
      <c r="H4" s="193">
        <v>22.271000000000001</v>
      </c>
      <c r="I4" s="193"/>
      <c r="J4" s="194"/>
      <c r="K4" s="193"/>
      <c r="L4" s="193"/>
      <c r="M4" s="195"/>
      <c r="N4" s="195"/>
      <c r="O4" s="195"/>
      <c r="P4" s="195"/>
      <c r="Q4" s="195"/>
      <c r="R4" s="195"/>
      <c r="S4" s="195"/>
    </row>
    <row r="5" spans="1:19" x14ac:dyDescent="0.25">
      <c r="A5" s="215" t="s">
        <v>204</v>
      </c>
      <c r="B5" s="216">
        <v>2024</v>
      </c>
      <c r="C5" s="196">
        <v>17.577000000000002</v>
      </c>
      <c r="D5" s="196">
        <v>24.901</v>
      </c>
      <c r="E5" s="196">
        <v>19.315000000000001</v>
      </c>
      <c r="F5" s="196">
        <v>16.753</v>
      </c>
      <c r="G5" s="196"/>
      <c r="H5" s="196">
        <v>22.271000000000001</v>
      </c>
      <c r="I5" s="196"/>
      <c r="J5" s="197"/>
      <c r="K5" s="196"/>
      <c r="L5" s="196"/>
      <c r="M5" s="198"/>
      <c r="N5" s="198"/>
      <c r="O5" s="198"/>
      <c r="P5" s="198"/>
      <c r="Q5" s="198"/>
      <c r="R5" s="198"/>
      <c r="S5" s="198"/>
    </row>
    <row r="6" spans="1:19" x14ac:dyDescent="0.25">
      <c r="A6" s="191" t="s">
        <v>240</v>
      </c>
      <c r="B6" s="192">
        <v>2023</v>
      </c>
      <c r="C6" s="193">
        <v>16.45</v>
      </c>
      <c r="D6" s="193">
        <v>23.38</v>
      </c>
      <c r="E6" s="193">
        <v>18.93</v>
      </c>
      <c r="F6" s="193">
        <v>15.72</v>
      </c>
      <c r="G6" s="193">
        <v>26.7</v>
      </c>
      <c r="H6" s="193">
        <v>22.03</v>
      </c>
      <c r="I6" s="193"/>
      <c r="J6" s="194"/>
      <c r="K6" s="193"/>
      <c r="L6" s="193"/>
      <c r="M6" s="195"/>
      <c r="N6" s="195"/>
      <c r="O6" s="195"/>
      <c r="P6" s="195"/>
      <c r="Q6" s="195"/>
      <c r="R6" s="195"/>
      <c r="S6" s="195"/>
    </row>
    <row r="7" spans="1:19" x14ac:dyDescent="0.25">
      <c r="A7" s="215" t="s">
        <v>240</v>
      </c>
      <c r="B7" s="216">
        <v>2024</v>
      </c>
      <c r="C7" s="196">
        <f>529.8/30</f>
        <v>17.66</v>
      </c>
      <c r="D7" s="196">
        <f>1926.4/77</f>
        <v>25.018181818181819</v>
      </c>
      <c r="E7" s="196">
        <v>0</v>
      </c>
      <c r="F7" s="196">
        <f>841.8/50</f>
        <v>16.835999999999999</v>
      </c>
      <c r="G7" s="196">
        <f>214/7.5</f>
        <v>28.533333333333335</v>
      </c>
      <c r="H7" s="196">
        <v>0</v>
      </c>
      <c r="I7" s="196"/>
      <c r="J7" s="197"/>
      <c r="K7" s="196"/>
      <c r="L7" s="196"/>
      <c r="M7" s="198"/>
      <c r="N7" s="198"/>
      <c r="O7" s="198"/>
      <c r="P7" s="198"/>
      <c r="Q7" s="198"/>
      <c r="R7" s="198"/>
      <c r="S7" s="198"/>
    </row>
    <row r="8" spans="1:19" x14ac:dyDescent="0.25">
      <c r="A8" s="191" t="s">
        <v>173</v>
      </c>
      <c r="B8" s="192">
        <v>2023</v>
      </c>
      <c r="C8" s="193">
        <v>16.192</v>
      </c>
      <c r="D8" s="193">
        <v>22.937999999999999</v>
      </c>
      <c r="E8" s="193">
        <v>14.794</v>
      </c>
      <c r="F8" s="193">
        <v>15.435</v>
      </c>
      <c r="G8" s="193">
        <v>0</v>
      </c>
      <c r="H8" s="193">
        <v>20.981999999999999</v>
      </c>
      <c r="I8" s="193"/>
      <c r="J8" s="194"/>
      <c r="K8" s="193"/>
      <c r="L8" s="193"/>
      <c r="M8" s="195"/>
      <c r="N8" s="195"/>
      <c r="O8" s="195"/>
      <c r="P8" s="195"/>
      <c r="Q8" s="195"/>
      <c r="R8" s="195"/>
      <c r="S8" s="195"/>
    </row>
    <row r="9" spans="1:19" x14ac:dyDescent="0.25">
      <c r="A9" s="215" t="s">
        <v>173</v>
      </c>
      <c r="B9" s="216">
        <v>2024</v>
      </c>
      <c r="C9" s="196">
        <v>17.033999999999999</v>
      </c>
      <c r="D9" s="196">
        <v>24.131</v>
      </c>
      <c r="E9" s="196">
        <v>19.14</v>
      </c>
      <c r="F9" s="196">
        <v>16.238</v>
      </c>
      <c r="G9" s="196">
        <v>0</v>
      </c>
      <c r="H9" s="196">
        <v>22.073</v>
      </c>
      <c r="I9" s="196"/>
      <c r="J9" s="197"/>
      <c r="K9" s="196"/>
      <c r="L9" s="196"/>
      <c r="M9" s="196"/>
      <c r="N9" s="196"/>
      <c r="O9" s="196"/>
      <c r="P9" s="196"/>
      <c r="Q9" s="198"/>
      <c r="R9" s="198"/>
      <c r="S9" s="198"/>
    </row>
    <row r="10" spans="1:19" x14ac:dyDescent="0.25">
      <c r="A10" s="191" t="s">
        <v>237</v>
      </c>
      <c r="B10" s="192">
        <v>2023</v>
      </c>
      <c r="C10" s="193">
        <v>16.422000000000001</v>
      </c>
      <c r="D10" s="193">
        <v>23.263000000000002</v>
      </c>
      <c r="E10" s="193">
        <v>17.442</v>
      </c>
      <c r="F10" s="193">
        <v>15.657999999999999</v>
      </c>
      <c r="G10" s="193">
        <v>0</v>
      </c>
      <c r="H10" s="193">
        <v>21.283000000000001</v>
      </c>
      <c r="I10" s="193"/>
      <c r="J10" s="194"/>
      <c r="K10" s="193"/>
      <c r="L10" s="193"/>
      <c r="M10" s="195"/>
      <c r="N10" s="195"/>
      <c r="O10" s="195"/>
      <c r="P10" s="195"/>
      <c r="Q10" s="195"/>
      <c r="R10" s="195"/>
      <c r="S10" s="195"/>
    </row>
    <row r="11" spans="1:19" x14ac:dyDescent="0.25">
      <c r="A11" s="215" t="s">
        <v>237</v>
      </c>
      <c r="B11" s="216">
        <v>2024</v>
      </c>
      <c r="C11" s="196">
        <v>17.276</v>
      </c>
      <c r="D11" s="196">
        <v>24.472999999999999</v>
      </c>
      <c r="E11" s="196">
        <v>19.414000000000001</v>
      </c>
      <c r="F11" s="196">
        <v>16.472000000000001</v>
      </c>
      <c r="G11" s="196">
        <v>0</v>
      </c>
      <c r="H11" s="196">
        <v>22.39</v>
      </c>
      <c r="I11" s="196"/>
      <c r="J11" s="197"/>
      <c r="K11" s="196"/>
      <c r="L11" s="196"/>
      <c r="M11" s="198"/>
      <c r="N11" s="198"/>
      <c r="O11" s="198"/>
      <c r="P11" s="198"/>
      <c r="Q11" s="198"/>
      <c r="R11" s="198"/>
      <c r="S11" s="198"/>
    </row>
    <row r="12" spans="1:19" x14ac:dyDescent="0.25">
      <c r="A12" s="191" t="s">
        <v>174</v>
      </c>
      <c r="B12" s="192">
        <v>2023</v>
      </c>
      <c r="C12" s="193">
        <v>15.52</v>
      </c>
      <c r="D12" s="193">
        <v>21.99</v>
      </c>
      <c r="E12" s="193">
        <v>17.809999999999999</v>
      </c>
      <c r="F12" s="193">
        <v>14.81</v>
      </c>
      <c r="G12" s="193">
        <v>25.2</v>
      </c>
      <c r="H12" s="193">
        <v>20.73</v>
      </c>
      <c r="I12" s="193"/>
      <c r="J12" s="194"/>
      <c r="K12" s="193"/>
      <c r="L12" s="193"/>
      <c r="M12" s="195"/>
      <c r="N12" s="195"/>
      <c r="O12" s="195"/>
      <c r="P12" s="195"/>
      <c r="Q12" s="195"/>
      <c r="R12" s="195"/>
      <c r="S12" s="195"/>
    </row>
    <row r="13" spans="1:19" x14ac:dyDescent="0.25">
      <c r="A13" s="215" t="s">
        <v>174</v>
      </c>
      <c r="B13" s="216">
        <v>2024</v>
      </c>
      <c r="C13" s="196">
        <v>16.48</v>
      </c>
      <c r="D13" s="196">
        <v>23.35</v>
      </c>
      <c r="E13" s="196">
        <v>18.91</v>
      </c>
      <c r="F13" s="196">
        <v>15.73</v>
      </c>
      <c r="G13" s="196">
        <v>26.66</v>
      </c>
      <c r="H13" s="196">
        <v>22.01</v>
      </c>
      <c r="I13" s="196"/>
      <c r="J13" s="197"/>
      <c r="K13" s="196"/>
      <c r="L13" s="196"/>
      <c r="M13" s="198"/>
      <c r="N13" s="198"/>
      <c r="O13" s="198"/>
      <c r="P13" s="198"/>
      <c r="Q13" s="198"/>
      <c r="R13" s="198"/>
      <c r="S13" s="198"/>
    </row>
    <row r="14" spans="1:19" x14ac:dyDescent="0.25">
      <c r="A14" s="191" t="s">
        <v>205</v>
      </c>
      <c r="B14" s="192">
        <v>2023</v>
      </c>
      <c r="C14" s="193">
        <v>15.629999999999999</v>
      </c>
      <c r="D14" s="193">
        <v>22.146753246753246</v>
      </c>
      <c r="E14" s="193">
        <v>12.047120418848166</v>
      </c>
      <c r="F14" s="193">
        <v>14.898</v>
      </c>
      <c r="G14" s="193">
        <v>25.266666666666666</v>
      </c>
      <c r="H14" s="193">
        <v>20.853932584269661</v>
      </c>
      <c r="I14" s="193"/>
      <c r="J14" s="194"/>
      <c r="K14" s="193"/>
      <c r="L14" s="193"/>
      <c r="M14" s="195"/>
      <c r="N14" s="195"/>
      <c r="O14" s="195"/>
      <c r="P14" s="195"/>
      <c r="Q14" s="195"/>
      <c r="R14" s="195"/>
      <c r="S14" s="195"/>
    </row>
    <row r="15" spans="1:19" x14ac:dyDescent="0.25">
      <c r="A15" s="191" t="s">
        <v>206</v>
      </c>
      <c r="B15" s="192">
        <v>2023</v>
      </c>
      <c r="C15" s="193">
        <v>16.073333333333334</v>
      </c>
      <c r="D15" s="193">
        <v>22.76883116883117</v>
      </c>
      <c r="E15" s="193">
        <v>18.575916230366492</v>
      </c>
      <c r="F15" s="193">
        <v>15.322000000000001</v>
      </c>
      <c r="G15" s="193">
        <v>25.973333333333336</v>
      </c>
      <c r="H15" s="193">
        <v>21.432835820895519</v>
      </c>
      <c r="I15" s="193"/>
      <c r="J15" s="194"/>
      <c r="K15" s="193"/>
      <c r="L15" s="193"/>
      <c r="M15" s="195"/>
      <c r="N15" s="195"/>
      <c r="O15" s="195"/>
      <c r="P15" s="195"/>
      <c r="Q15" s="195"/>
      <c r="R15" s="195"/>
      <c r="S15" s="195"/>
    </row>
    <row r="16" spans="1:19" x14ac:dyDescent="0.25">
      <c r="A16" s="191" t="s">
        <v>207</v>
      </c>
      <c r="B16" s="192">
        <v>2023</v>
      </c>
      <c r="C16" s="193">
        <v>16.073333333333334</v>
      </c>
      <c r="D16" s="193">
        <v>22.76883116883117</v>
      </c>
      <c r="E16" s="193">
        <v>18.575916230366492</v>
      </c>
      <c r="F16" s="193">
        <v>15.322000000000001</v>
      </c>
      <c r="G16" s="193">
        <v>25.973333333333336</v>
      </c>
      <c r="H16" s="193">
        <v>21.432835820895519</v>
      </c>
      <c r="I16" s="193"/>
      <c r="J16" s="194"/>
      <c r="K16" s="193"/>
      <c r="L16" s="193"/>
      <c r="M16" s="195"/>
      <c r="N16" s="195"/>
      <c r="O16" s="195"/>
      <c r="P16" s="195"/>
      <c r="Q16" s="195"/>
      <c r="R16" s="195"/>
      <c r="S16" s="195"/>
    </row>
    <row r="17" spans="1:19" ht="90" x14ac:dyDescent="0.25">
      <c r="A17" s="199" t="s">
        <v>251</v>
      </c>
      <c r="B17" s="192">
        <v>2023</v>
      </c>
      <c r="C17" s="193">
        <v>16.413333333333334</v>
      </c>
      <c r="D17" s="193">
        <v>23.250649350649351</v>
      </c>
      <c r="E17" s="193">
        <v>18.973821989528794</v>
      </c>
      <c r="F17" s="193">
        <v>15.644</v>
      </c>
      <c r="G17" s="193">
        <v>26.56</v>
      </c>
      <c r="H17" s="193">
        <v>21.880597014925371</v>
      </c>
      <c r="I17" s="193"/>
      <c r="J17" s="194"/>
      <c r="K17" s="193">
        <v>0</v>
      </c>
      <c r="L17" s="193">
        <v>0</v>
      </c>
      <c r="M17" s="195">
        <v>0</v>
      </c>
      <c r="N17" s="195">
        <v>0</v>
      </c>
      <c r="O17" s="195">
        <v>0</v>
      </c>
      <c r="P17" s="195">
        <v>0</v>
      </c>
      <c r="Q17" s="195">
        <v>0</v>
      </c>
      <c r="R17" s="195">
        <v>0</v>
      </c>
      <c r="S17" s="195">
        <v>0</v>
      </c>
    </row>
    <row r="18" spans="1:19" x14ac:dyDescent="0.25">
      <c r="A18" s="191" t="s">
        <v>208</v>
      </c>
      <c r="B18" s="192">
        <v>2023</v>
      </c>
      <c r="C18" s="193">
        <v>17.276666666666664</v>
      </c>
      <c r="D18" s="193">
        <v>24.471428571428572</v>
      </c>
      <c r="E18" s="193">
        <v>13.31937172774869</v>
      </c>
      <c r="F18" s="193">
        <v>16.472000000000001</v>
      </c>
      <c r="G18" s="193">
        <v>27.893333333333331</v>
      </c>
      <c r="H18" s="193">
        <v>23.067415730337078</v>
      </c>
      <c r="I18" s="193"/>
      <c r="J18" s="194"/>
      <c r="K18" s="193"/>
      <c r="L18" s="193"/>
      <c r="M18" s="195"/>
      <c r="N18" s="195"/>
      <c r="O18" s="195"/>
      <c r="P18" s="195"/>
      <c r="Q18" s="195"/>
      <c r="R18" s="195"/>
      <c r="S18" s="195"/>
    </row>
    <row r="19" spans="1:19" x14ac:dyDescent="0.25">
      <c r="A19" s="191" t="s">
        <v>209</v>
      </c>
      <c r="B19" s="192">
        <v>2023</v>
      </c>
      <c r="C19" s="193">
        <v>22.066666666666666</v>
      </c>
      <c r="D19" s="193">
        <v>31.28051948051948</v>
      </c>
      <c r="E19" s="193">
        <v>25.523560209424083</v>
      </c>
      <c r="F19" s="193">
        <v>21.045999999999999</v>
      </c>
      <c r="G19" s="193">
        <v>35.706666666666671</v>
      </c>
      <c r="H19" s="193">
        <v>29.440298507462686</v>
      </c>
      <c r="I19" s="193"/>
      <c r="J19" s="194"/>
      <c r="K19" s="193"/>
      <c r="L19" s="193"/>
      <c r="M19" s="195"/>
      <c r="N19" s="195"/>
      <c r="O19" s="195"/>
      <c r="P19" s="195"/>
      <c r="Q19" s="195"/>
      <c r="R19" s="195"/>
      <c r="S19" s="195"/>
    </row>
    <row r="20" spans="1:19" x14ac:dyDescent="0.25">
      <c r="A20" s="191" t="s">
        <v>210</v>
      </c>
      <c r="B20" s="192">
        <v>2023</v>
      </c>
      <c r="C20" s="193">
        <v>22.066666666666666</v>
      </c>
      <c r="D20" s="193">
        <v>31.28051948051948</v>
      </c>
      <c r="E20" s="193">
        <v>25.523560209424083</v>
      </c>
      <c r="F20" s="193">
        <v>21.045999999999999</v>
      </c>
      <c r="G20" s="193">
        <v>35.706666666666671</v>
      </c>
      <c r="H20" s="193">
        <v>29.440298507462686</v>
      </c>
      <c r="I20" s="193"/>
      <c r="J20" s="194"/>
      <c r="K20" s="193"/>
      <c r="L20" s="193"/>
      <c r="M20" s="195"/>
      <c r="N20" s="195"/>
      <c r="O20" s="195"/>
      <c r="P20" s="195"/>
      <c r="Q20" s="195"/>
      <c r="R20" s="195"/>
      <c r="S20" s="195"/>
    </row>
    <row r="21" spans="1:19" ht="105" x14ac:dyDescent="0.25">
      <c r="A21" s="199" t="s">
        <v>211</v>
      </c>
      <c r="B21" s="192">
        <v>2023</v>
      </c>
      <c r="C21" s="193">
        <v>22.076666666666664</v>
      </c>
      <c r="D21" s="193">
        <v>31.28051948051948</v>
      </c>
      <c r="E21" s="193">
        <v>19.633507853403138</v>
      </c>
      <c r="F21" s="193">
        <v>21.048000000000002</v>
      </c>
      <c r="G21" s="193">
        <v>19.992537313432834</v>
      </c>
      <c r="H21" s="193">
        <v>22.641791044776117</v>
      </c>
      <c r="I21" s="193"/>
      <c r="J21" s="194"/>
      <c r="K21" s="193"/>
      <c r="L21" s="193"/>
      <c r="M21" s="195"/>
      <c r="N21" s="195"/>
      <c r="O21" s="195"/>
      <c r="P21" s="195"/>
      <c r="Q21" s="195"/>
      <c r="R21" s="195"/>
      <c r="S21" s="195"/>
    </row>
    <row r="22" spans="1:19" x14ac:dyDescent="0.25">
      <c r="A22" s="215" t="s">
        <v>205</v>
      </c>
      <c r="B22" s="216">
        <v>2024</v>
      </c>
      <c r="C22" s="196">
        <f>492.3/30</f>
        <v>16.41</v>
      </c>
      <c r="D22" s="196">
        <f>1790.6/77</f>
        <v>23.254545454545454</v>
      </c>
      <c r="E22" s="196">
        <f>241.6/19.1</f>
        <v>12.649214659685862</v>
      </c>
      <c r="F22" s="196">
        <f>782.1/50</f>
        <v>15.642000000000001</v>
      </c>
      <c r="G22" s="196">
        <f>199/7.5</f>
        <v>26.533333333333335</v>
      </c>
      <c r="H22" s="196">
        <f>194.9/8.9</f>
        <v>21.898876404494381</v>
      </c>
      <c r="I22" s="196"/>
      <c r="J22" s="197"/>
      <c r="K22" s="196"/>
      <c r="L22" s="196"/>
      <c r="M22" s="198"/>
      <c r="N22" s="198"/>
      <c r="O22" s="198"/>
      <c r="P22" s="198"/>
      <c r="Q22" s="198"/>
      <c r="R22" s="198"/>
      <c r="S22" s="198"/>
    </row>
    <row r="23" spans="1:19" x14ac:dyDescent="0.25">
      <c r="A23" s="215" t="s">
        <v>206</v>
      </c>
      <c r="B23" s="216">
        <v>2024</v>
      </c>
      <c r="C23" s="196">
        <f>506.3/30</f>
        <v>16.876666666666669</v>
      </c>
      <c r="D23" s="196">
        <f>1840.9/77</f>
        <v>23.907792207792209</v>
      </c>
      <c r="E23" s="196">
        <f>372.5/19.1</f>
        <v>19.502617801047119</v>
      </c>
      <c r="F23" s="196">
        <f>804.4/50</f>
        <v>16.088000000000001</v>
      </c>
      <c r="G23" s="196">
        <f>204.5/7.5</f>
        <v>27.266666666666666</v>
      </c>
      <c r="H23" s="196">
        <f>301.6/13.4</f>
        <v>22.507462686567166</v>
      </c>
      <c r="I23" s="196"/>
      <c r="J23" s="197"/>
      <c r="K23" s="196"/>
      <c r="L23" s="196"/>
      <c r="M23" s="198"/>
      <c r="N23" s="198"/>
      <c r="O23" s="198"/>
      <c r="P23" s="198"/>
      <c r="Q23" s="198"/>
      <c r="R23" s="198"/>
      <c r="S23" s="198"/>
    </row>
    <row r="24" spans="1:19" x14ac:dyDescent="0.25">
      <c r="A24" s="215" t="s">
        <v>207</v>
      </c>
      <c r="B24" s="216">
        <v>2024</v>
      </c>
      <c r="C24" s="304">
        <f t="shared" ref="C24:H24" si="0">C23</f>
        <v>16.876666666666669</v>
      </c>
      <c r="D24" s="304">
        <f t="shared" si="0"/>
        <v>23.907792207792209</v>
      </c>
      <c r="E24" s="304">
        <f t="shared" si="0"/>
        <v>19.502617801047119</v>
      </c>
      <c r="F24" s="304">
        <f t="shared" si="0"/>
        <v>16.088000000000001</v>
      </c>
      <c r="G24" s="304">
        <f t="shared" si="0"/>
        <v>27.266666666666666</v>
      </c>
      <c r="H24" s="304">
        <f t="shared" si="0"/>
        <v>22.507462686567166</v>
      </c>
      <c r="I24" s="196"/>
      <c r="J24" s="197"/>
      <c r="K24" s="196"/>
      <c r="L24" s="196"/>
      <c r="M24" s="198"/>
      <c r="N24" s="198"/>
      <c r="O24" s="198"/>
      <c r="P24" s="198"/>
      <c r="Q24" s="198"/>
      <c r="R24" s="198"/>
      <c r="S24" s="198"/>
    </row>
    <row r="25" spans="1:19" ht="90" x14ac:dyDescent="0.25">
      <c r="A25" s="217" t="s">
        <v>251</v>
      </c>
      <c r="B25" s="216">
        <v>2024</v>
      </c>
      <c r="C25" s="196">
        <f>517/30</f>
        <v>17.233333333333334</v>
      </c>
      <c r="D25" s="196">
        <f>1879.8/77</f>
        <v>24.412987012987013</v>
      </c>
      <c r="E25" s="196">
        <f>380.5/19.1</f>
        <v>19.921465968586386</v>
      </c>
      <c r="F25" s="196">
        <f>821.3/50</f>
        <v>16.425999999999998</v>
      </c>
      <c r="G25" s="196">
        <f>209.2/7.5</f>
        <v>27.893333333333331</v>
      </c>
      <c r="H25" s="196">
        <f>307.9/13.4</f>
        <v>22.977611940298505</v>
      </c>
      <c r="I25" s="196"/>
      <c r="J25" s="196"/>
      <c r="K25" s="196">
        <f t="shared" ref="K25:S25" si="1">K31:Z31</f>
        <v>0</v>
      </c>
      <c r="L25" s="196">
        <f t="shared" si="1"/>
        <v>0</v>
      </c>
      <c r="M25" s="196">
        <f t="shared" si="1"/>
        <v>0</v>
      </c>
      <c r="N25" s="196">
        <f t="shared" si="1"/>
        <v>0</v>
      </c>
      <c r="O25" s="196">
        <f t="shared" si="1"/>
        <v>0</v>
      </c>
      <c r="P25" s="196">
        <f t="shared" si="1"/>
        <v>0</v>
      </c>
      <c r="Q25" s="196">
        <f t="shared" si="1"/>
        <v>0</v>
      </c>
      <c r="R25" s="196">
        <f t="shared" si="1"/>
        <v>0</v>
      </c>
      <c r="S25" s="196">
        <f t="shared" si="1"/>
        <v>0</v>
      </c>
    </row>
    <row r="26" spans="1:19" x14ac:dyDescent="0.25">
      <c r="A26" s="215" t="s">
        <v>208</v>
      </c>
      <c r="B26" s="216">
        <v>2024</v>
      </c>
      <c r="C26" s="196">
        <f>546.3/30</f>
        <v>18.209999999999997</v>
      </c>
      <c r="D26" s="196">
        <f>1986.1/77</f>
        <v>25.793506493506491</v>
      </c>
      <c r="E26" s="196">
        <f>268.1/19.1</f>
        <v>14.036649214659686</v>
      </c>
      <c r="F26" s="196">
        <f>868.1/50</f>
        <v>17.362000000000002</v>
      </c>
      <c r="G26" s="196">
        <f>220.5/7.5</f>
        <v>29.4</v>
      </c>
      <c r="H26" s="196">
        <f>216.4/8.9</f>
        <v>24.314606741573034</v>
      </c>
      <c r="I26" s="196"/>
      <c r="J26" s="197"/>
      <c r="K26" s="196"/>
      <c r="L26" s="196"/>
      <c r="M26" s="198"/>
      <c r="N26" s="198"/>
      <c r="O26" s="198"/>
      <c r="P26" s="198"/>
      <c r="Q26" s="198"/>
      <c r="R26" s="198"/>
      <c r="S26" s="198"/>
    </row>
    <row r="27" spans="1:19" x14ac:dyDescent="0.25">
      <c r="A27" s="215" t="s">
        <v>209</v>
      </c>
      <c r="B27" s="216">
        <v>2024</v>
      </c>
      <c r="C27" s="304">
        <f t="shared" ref="C27:H27" si="2">C28</f>
        <v>23.256666666666668</v>
      </c>
      <c r="D27" s="304">
        <f t="shared" si="2"/>
        <v>32.970129870129867</v>
      </c>
      <c r="E27" s="304">
        <f t="shared" si="2"/>
        <v>26.900523560209418</v>
      </c>
      <c r="F27" s="304">
        <f t="shared" si="2"/>
        <v>22.181999999999999</v>
      </c>
      <c r="G27" s="304">
        <f t="shared" si="2"/>
        <v>37.64</v>
      </c>
      <c r="H27" s="304">
        <f t="shared" si="2"/>
        <v>31.029850746268657</v>
      </c>
      <c r="I27" s="196"/>
      <c r="J27" s="197"/>
      <c r="K27" s="196"/>
      <c r="L27" s="196"/>
      <c r="M27" s="198"/>
      <c r="N27" s="198"/>
      <c r="O27" s="198"/>
      <c r="P27" s="198"/>
      <c r="Q27" s="198"/>
      <c r="R27" s="198"/>
      <c r="S27" s="198"/>
    </row>
    <row r="28" spans="1:19" x14ac:dyDescent="0.25">
      <c r="A28" s="215" t="s">
        <v>210</v>
      </c>
      <c r="B28" s="216">
        <v>2024</v>
      </c>
      <c r="C28" s="196">
        <f>697.7/30</f>
        <v>23.256666666666668</v>
      </c>
      <c r="D28" s="196">
        <f>2538.7/77</f>
        <v>32.970129870129867</v>
      </c>
      <c r="E28" s="196">
        <f>513.8/19.1</f>
        <v>26.900523560209418</v>
      </c>
      <c r="F28" s="196">
        <f>1109.1/50</f>
        <v>22.181999999999999</v>
      </c>
      <c r="G28" s="196">
        <f>282.3/7.5</f>
        <v>37.64</v>
      </c>
      <c r="H28" s="196">
        <f>415.8/13.4</f>
        <v>31.029850746268657</v>
      </c>
      <c r="I28" s="196"/>
      <c r="J28" s="197"/>
      <c r="K28" s="196"/>
      <c r="L28" s="196"/>
      <c r="M28" s="198"/>
      <c r="N28" s="198"/>
      <c r="O28" s="198"/>
      <c r="P28" s="198"/>
      <c r="Q28" s="198"/>
      <c r="R28" s="198"/>
      <c r="S28" s="198"/>
    </row>
    <row r="29" spans="1:19" ht="105" x14ac:dyDescent="0.25">
      <c r="A29" s="217" t="s">
        <v>211</v>
      </c>
      <c r="B29" s="216">
        <v>2024</v>
      </c>
      <c r="C29" s="196">
        <f>698.1/30</f>
        <v>23.27</v>
      </c>
      <c r="D29" s="196">
        <f>2538.7/77</f>
        <v>32.970129870129867</v>
      </c>
      <c r="E29" s="196">
        <f>395.3/19.1</f>
        <v>20.69633507853403</v>
      </c>
      <c r="F29" s="196">
        <f>1109.2/50</f>
        <v>22.184000000000001</v>
      </c>
      <c r="G29" s="196">
        <f>282.4/7.5</f>
        <v>37.653333333333329</v>
      </c>
      <c r="H29" s="196">
        <f>319.8/13.4</f>
        <v>23.865671641791046</v>
      </c>
      <c r="I29" s="196"/>
      <c r="J29" s="197"/>
      <c r="K29" s="196"/>
      <c r="L29" s="196"/>
      <c r="M29" s="198"/>
      <c r="N29" s="198"/>
      <c r="O29" s="198"/>
      <c r="P29" s="198"/>
      <c r="Q29" s="198"/>
      <c r="R29" s="198"/>
      <c r="S29" s="198"/>
    </row>
    <row r="30" spans="1:19" x14ac:dyDescent="0.25">
      <c r="A30" s="191" t="s">
        <v>175</v>
      </c>
      <c r="B30" s="192">
        <v>2023</v>
      </c>
      <c r="C30" s="193"/>
      <c r="D30" s="193"/>
      <c r="E30" s="193"/>
      <c r="F30" s="193"/>
      <c r="G30" s="193"/>
      <c r="H30" s="193"/>
      <c r="I30" s="193"/>
      <c r="J30" s="194"/>
      <c r="K30" s="193"/>
      <c r="L30" s="193"/>
      <c r="M30" s="195"/>
      <c r="N30" s="195"/>
      <c r="O30" s="195"/>
      <c r="P30" s="195"/>
      <c r="Q30" s="195"/>
      <c r="R30" s="195"/>
      <c r="S30" s="195"/>
    </row>
    <row r="31" spans="1:19" x14ac:dyDescent="0.25">
      <c r="A31" s="215" t="s">
        <v>175</v>
      </c>
      <c r="B31" s="216">
        <v>2024</v>
      </c>
      <c r="C31" s="196"/>
      <c r="D31" s="196"/>
      <c r="E31" s="196"/>
      <c r="F31" s="196"/>
      <c r="G31" s="196"/>
      <c r="H31" s="196"/>
      <c r="I31" s="196"/>
      <c r="J31" s="197"/>
      <c r="K31" s="196"/>
      <c r="L31" s="196"/>
      <c r="M31" s="198"/>
      <c r="N31" s="198"/>
      <c r="O31" s="198"/>
      <c r="P31" s="198"/>
      <c r="Q31" s="198"/>
      <c r="R31" s="198"/>
      <c r="S31" s="198"/>
    </row>
    <row r="32" spans="1:19" x14ac:dyDescent="0.25">
      <c r="A32" s="191" t="s">
        <v>176</v>
      </c>
      <c r="B32" s="192">
        <v>2023</v>
      </c>
      <c r="C32" s="193">
        <v>17.632999999999999</v>
      </c>
      <c r="D32" s="193">
        <v>24.978000000000002</v>
      </c>
      <c r="E32" s="193">
        <v>20.384</v>
      </c>
      <c r="F32" s="193">
        <v>16.808</v>
      </c>
      <c r="G32" s="193">
        <v>31.92</v>
      </c>
      <c r="H32" s="193"/>
      <c r="I32" s="193">
        <v>28.472999999999999</v>
      </c>
      <c r="J32" s="194">
        <v>31.92</v>
      </c>
      <c r="K32" s="193"/>
      <c r="L32" s="193"/>
      <c r="M32" s="195"/>
      <c r="N32" s="195"/>
      <c r="O32" s="195"/>
      <c r="P32" s="195"/>
      <c r="Q32" s="195"/>
      <c r="R32" s="195"/>
      <c r="S32" s="195"/>
    </row>
    <row r="33" spans="1:19" x14ac:dyDescent="0.25">
      <c r="A33" s="215" t="s">
        <v>176</v>
      </c>
      <c r="B33" s="216">
        <v>2024</v>
      </c>
      <c r="C33" s="196">
        <v>18.513999999999999</v>
      </c>
      <c r="D33" s="196">
        <v>26.227</v>
      </c>
      <c r="E33" s="196">
        <v>21.402999999999999</v>
      </c>
      <c r="F33" s="196">
        <v>17.648</v>
      </c>
      <c r="G33" s="196">
        <v>0</v>
      </c>
      <c r="H33" s="196">
        <v>0</v>
      </c>
      <c r="I33" s="196">
        <v>29.896999999999998</v>
      </c>
      <c r="J33" s="197">
        <v>33.515999999999998</v>
      </c>
      <c r="K33" s="196"/>
      <c r="L33" s="196"/>
      <c r="M33" s="198"/>
      <c r="N33" s="198"/>
      <c r="O33" s="198"/>
      <c r="P33" s="198"/>
      <c r="Q33" s="198"/>
      <c r="R33" s="198"/>
      <c r="S33" s="198"/>
    </row>
    <row r="34" spans="1:19" x14ac:dyDescent="0.25">
      <c r="A34" s="191" t="s">
        <v>267</v>
      </c>
      <c r="B34" s="192">
        <v>2023</v>
      </c>
      <c r="C34" s="193">
        <v>17.43</v>
      </c>
      <c r="D34" s="193">
        <v>24.78</v>
      </c>
      <c r="E34" s="193">
        <v>20.059999999999999</v>
      </c>
      <c r="F34" s="193">
        <v>16.7</v>
      </c>
      <c r="G34" s="193">
        <v>0</v>
      </c>
      <c r="H34" s="193">
        <v>23.37</v>
      </c>
      <c r="I34" s="193"/>
      <c r="J34" s="194"/>
      <c r="K34" s="193"/>
      <c r="L34" s="193"/>
      <c r="M34" s="195"/>
      <c r="N34" s="195"/>
      <c r="O34" s="195"/>
      <c r="P34" s="195"/>
      <c r="Q34" s="195"/>
      <c r="R34" s="195"/>
      <c r="S34" s="195"/>
    </row>
    <row r="35" spans="1:19" x14ac:dyDescent="0.25">
      <c r="A35" s="215" t="s">
        <v>267</v>
      </c>
      <c r="B35" s="216">
        <v>2024</v>
      </c>
      <c r="C35" s="196">
        <f>519.2/30</f>
        <v>17.306666666666668</v>
      </c>
      <c r="D35" s="196">
        <f>1887.1/77</f>
        <v>24.507792207792207</v>
      </c>
      <c r="E35" s="196">
        <f>254.5/19.1</f>
        <v>13.32460732984293</v>
      </c>
      <c r="F35" s="196">
        <f>824.6/50</f>
        <v>16.492000000000001</v>
      </c>
      <c r="G35" s="196">
        <f>209.6/7.5</f>
        <v>27.946666666666665</v>
      </c>
      <c r="H35" s="196">
        <f>205.4/13.4</f>
        <v>15.328358208955224</v>
      </c>
      <c r="I35" s="196"/>
      <c r="J35" s="197"/>
      <c r="K35" s="196"/>
      <c r="L35" s="196"/>
      <c r="M35" s="198"/>
      <c r="N35" s="198"/>
      <c r="O35" s="198"/>
      <c r="P35" s="198"/>
      <c r="Q35" s="198"/>
      <c r="R35" s="198"/>
      <c r="S35" s="198"/>
    </row>
    <row r="36" spans="1:19" x14ac:dyDescent="0.25">
      <c r="A36" s="191" t="s">
        <v>212</v>
      </c>
      <c r="B36" s="192">
        <v>2023</v>
      </c>
      <c r="C36" s="278">
        <v>17.09</v>
      </c>
      <c r="D36" s="193">
        <v>24.216531051886498</v>
      </c>
      <c r="E36" s="193">
        <v>13.178010471204187</v>
      </c>
      <c r="F36" s="193">
        <v>16.297999999999998</v>
      </c>
      <c r="G36" s="193">
        <v>27.6</v>
      </c>
      <c r="H36" s="193">
        <v>14.970149253731343</v>
      </c>
      <c r="I36" s="193"/>
      <c r="J36" s="194"/>
      <c r="K36" s="193"/>
      <c r="L36" s="193"/>
      <c r="M36" s="195"/>
      <c r="N36" s="195"/>
      <c r="O36" s="195"/>
      <c r="P36" s="195"/>
      <c r="Q36" s="195"/>
      <c r="R36" s="195"/>
      <c r="S36" s="195"/>
    </row>
    <row r="37" spans="1:19" x14ac:dyDescent="0.25">
      <c r="A37" s="215" t="s">
        <v>212</v>
      </c>
      <c r="B37" s="216">
        <v>2024</v>
      </c>
      <c r="C37" s="279">
        <f>535.8/30</f>
        <v>17.86</v>
      </c>
      <c r="D37" s="196">
        <f>C37/C36*D36</f>
        <v>25.307621099279864</v>
      </c>
      <c r="E37" s="196">
        <f>263/19.1</f>
        <v>13.769633507853403</v>
      </c>
      <c r="F37" s="196">
        <f>851.6/50</f>
        <v>17.032</v>
      </c>
      <c r="G37" s="196"/>
      <c r="H37" s="196">
        <f>206.6/13.4</f>
        <v>15.417910447761193</v>
      </c>
      <c r="I37" s="196"/>
      <c r="J37" s="197"/>
      <c r="K37" s="196"/>
      <c r="L37" s="196"/>
      <c r="M37" s="198"/>
      <c r="N37" s="198"/>
      <c r="O37" s="198"/>
      <c r="P37" s="198"/>
      <c r="Q37" s="198"/>
      <c r="R37" s="198"/>
      <c r="S37" s="198"/>
    </row>
    <row r="38" spans="1:19" x14ac:dyDescent="0.25">
      <c r="A38" s="191" t="s">
        <v>213</v>
      </c>
      <c r="B38" s="192">
        <v>2023</v>
      </c>
      <c r="C38" s="278">
        <v>17.45</v>
      </c>
      <c r="D38" s="193">
        <v>24.56753246753247</v>
      </c>
      <c r="E38" s="193">
        <v>19.840413265394016</v>
      </c>
      <c r="F38" s="193">
        <v>16.532</v>
      </c>
      <c r="G38" s="193">
        <v>28.181333333333335</v>
      </c>
      <c r="H38" s="193">
        <v>20.544776119402986</v>
      </c>
      <c r="I38" s="193"/>
      <c r="J38" s="194"/>
      <c r="K38" s="193"/>
      <c r="L38" s="193"/>
      <c r="M38" s="195"/>
      <c r="N38" s="195"/>
      <c r="O38" s="195"/>
      <c r="P38" s="195"/>
      <c r="Q38" s="195"/>
      <c r="R38" s="195"/>
      <c r="S38" s="195"/>
    </row>
    <row r="39" spans="1:19" x14ac:dyDescent="0.25">
      <c r="A39" s="215" t="s">
        <v>213</v>
      </c>
      <c r="B39" s="216">
        <v>2024</v>
      </c>
      <c r="C39" s="279">
        <f>549.7/30</f>
        <v>18.323333333333334</v>
      </c>
      <c r="D39" s="196">
        <f>1986.3/77</f>
        <v>25.796103896103894</v>
      </c>
      <c r="E39" s="196">
        <f>347.2/19.1</f>
        <v>18.178010471204185</v>
      </c>
      <c r="F39" s="196">
        <v>17.36</v>
      </c>
      <c r="G39" s="196"/>
      <c r="H39" s="196">
        <f>280.8/13.4</f>
        <v>20.955223880597014</v>
      </c>
      <c r="I39" s="196"/>
      <c r="J39" s="197"/>
      <c r="K39" s="196"/>
      <c r="L39" s="196"/>
      <c r="M39" s="198"/>
      <c r="N39" s="198"/>
      <c r="O39" s="198"/>
      <c r="P39" s="198"/>
      <c r="Q39" s="198"/>
      <c r="R39" s="198"/>
      <c r="S39" s="198"/>
    </row>
    <row r="40" spans="1:19" x14ac:dyDescent="0.25">
      <c r="A40" s="191" t="s">
        <v>214</v>
      </c>
      <c r="B40" s="192">
        <v>2023</v>
      </c>
      <c r="C40" s="278">
        <v>16.678999999999998</v>
      </c>
      <c r="D40" s="193">
        <v>23.626999999999999</v>
      </c>
      <c r="E40" s="193">
        <v>19.280999999999999</v>
      </c>
      <c r="F40" s="193">
        <v>15.898</v>
      </c>
      <c r="G40" s="193">
        <v>0</v>
      </c>
      <c r="H40" s="193">
        <v>22.236999999999998</v>
      </c>
      <c r="I40" s="193">
        <v>26.931999999999999</v>
      </c>
      <c r="J40" s="194">
        <v>30.193000000000001</v>
      </c>
      <c r="K40" s="193"/>
      <c r="L40" s="193"/>
      <c r="M40" s="195"/>
      <c r="N40" s="195"/>
      <c r="O40" s="195"/>
      <c r="P40" s="195"/>
      <c r="Q40" s="195"/>
      <c r="R40" s="195"/>
      <c r="S40" s="195"/>
    </row>
    <row r="41" spans="1:19" x14ac:dyDescent="0.25">
      <c r="A41" s="215" t="s">
        <v>214</v>
      </c>
      <c r="B41" s="216">
        <v>2024</v>
      </c>
      <c r="C41" s="279">
        <v>17.579000000000001</v>
      </c>
      <c r="D41" s="196">
        <v>24.902000000000001</v>
      </c>
      <c r="E41" s="196">
        <v>20.321999999999999</v>
      </c>
      <c r="F41" s="196">
        <v>16.757000000000001</v>
      </c>
      <c r="G41" s="196">
        <v>0</v>
      </c>
      <c r="H41" s="196">
        <v>23.437999999999999</v>
      </c>
      <c r="I41" s="196">
        <v>28.387</v>
      </c>
      <c r="J41" s="197">
        <v>31.823</v>
      </c>
      <c r="K41" s="196"/>
      <c r="L41" s="196"/>
      <c r="M41" s="198"/>
      <c r="N41" s="198"/>
      <c r="O41" s="198"/>
      <c r="P41" s="198"/>
      <c r="Q41" s="198"/>
      <c r="R41" s="198"/>
      <c r="S41" s="198"/>
    </row>
    <row r="42" spans="1:19" x14ac:dyDescent="0.25">
      <c r="A42" s="191" t="s">
        <v>215</v>
      </c>
      <c r="B42" s="192">
        <v>2023</v>
      </c>
      <c r="C42" s="278">
        <v>63.982999999999997</v>
      </c>
      <c r="D42" s="200"/>
      <c r="E42" s="200"/>
      <c r="F42" s="200"/>
      <c r="G42" s="200"/>
      <c r="H42" s="200"/>
      <c r="I42" s="200"/>
      <c r="J42" s="194"/>
      <c r="K42" s="201">
        <v>54.592568799683171</v>
      </c>
      <c r="L42" s="201">
        <v>54.277453658732945</v>
      </c>
      <c r="M42" s="218">
        <v>1112676.9217453124</v>
      </c>
      <c r="N42" s="218">
        <v>155</v>
      </c>
      <c r="O42" s="218">
        <v>282</v>
      </c>
      <c r="P42" s="218">
        <v>267</v>
      </c>
      <c r="Q42" s="218">
        <v>462</v>
      </c>
      <c r="R42" s="218">
        <v>447</v>
      </c>
      <c r="S42" s="218"/>
    </row>
    <row r="43" spans="1:19" x14ac:dyDescent="0.25">
      <c r="A43" s="215" t="s">
        <v>215</v>
      </c>
      <c r="B43" s="216">
        <v>2024</v>
      </c>
      <c r="C43" s="251">
        <f>C42*1.065</f>
        <v>68.141894999999991</v>
      </c>
      <c r="D43" s="219"/>
      <c r="E43" s="219"/>
      <c r="F43" s="219"/>
      <c r="G43" s="219"/>
      <c r="H43" s="219"/>
      <c r="I43" s="219"/>
      <c r="J43" s="197"/>
      <c r="K43" s="202">
        <f>($M43/$N43+O43*$C43)/Q43</f>
        <v>57.13111509838447</v>
      </c>
      <c r="L43" s="202">
        <f>($M43/$N43+P43*$C43)/R43</f>
        <v>56.761625839940997</v>
      </c>
      <c r="M43" s="220">
        <f>675300*1.15*1.125*1.125*1.07*1.058</f>
        <v>1112676.9217453124</v>
      </c>
      <c r="N43" s="303">
        <v>155</v>
      </c>
      <c r="O43" s="303">
        <v>282</v>
      </c>
      <c r="P43" s="303">
        <v>267</v>
      </c>
      <c r="Q43" s="303">
        <v>462</v>
      </c>
      <c r="R43" s="303">
        <v>447</v>
      </c>
      <c r="S43" s="198"/>
    </row>
    <row r="44" spans="1:19" x14ac:dyDescent="0.25">
      <c r="A44" s="191" t="s">
        <v>216</v>
      </c>
      <c r="B44" s="192">
        <v>2023</v>
      </c>
      <c r="C44" s="278">
        <v>55.015999999999998</v>
      </c>
      <c r="D44" s="200"/>
      <c r="E44" s="200"/>
      <c r="F44" s="200"/>
      <c r="G44" s="200"/>
      <c r="H44" s="200"/>
      <c r="I44" s="200"/>
      <c r="J44" s="194"/>
      <c r="K44" s="193"/>
      <c r="L44" s="193"/>
      <c r="M44" s="195"/>
      <c r="N44" s="195"/>
      <c r="O44" s="195"/>
      <c r="P44" s="195"/>
      <c r="Q44" s="195"/>
      <c r="R44" s="195"/>
      <c r="S44" s="195"/>
    </row>
    <row r="45" spans="1:19" x14ac:dyDescent="0.25">
      <c r="A45" s="215" t="s">
        <v>216</v>
      </c>
      <c r="B45" s="216">
        <v>2024</v>
      </c>
      <c r="C45" s="251">
        <f>C44*1.065</f>
        <v>58.592039999999997</v>
      </c>
      <c r="D45" s="219"/>
      <c r="E45" s="219"/>
      <c r="F45" s="219"/>
      <c r="G45" s="219"/>
      <c r="H45" s="219"/>
      <c r="I45" s="219"/>
      <c r="J45" s="197"/>
      <c r="K45" s="196"/>
      <c r="L45" s="196"/>
      <c r="M45" s="198"/>
      <c r="N45" s="198"/>
      <c r="O45" s="198"/>
      <c r="P45" s="198"/>
      <c r="Q45" s="198"/>
      <c r="R45" s="198"/>
      <c r="S45" s="198"/>
    </row>
    <row r="46" spans="1:19" x14ac:dyDescent="0.25">
      <c r="A46" s="191" t="s">
        <v>217</v>
      </c>
      <c r="B46" s="192">
        <v>2023</v>
      </c>
      <c r="C46" s="278">
        <v>50.256999999999998</v>
      </c>
      <c r="D46" s="200"/>
      <c r="E46" s="200"/>
      <c r="F46" s="200"/>
      <c r="G46" s="200"/>
      <c r="H46" s="200"/>
      <c r="I46" s="200"/>
      <c r="J46" s="194"/>
      <c r="K46" s="201">
        <v>46.214361007475389</v>
      </c>
      <c r="L46" s="201">
        <v>46.078701980880595</v>
      </c>
      <c r="M46" s="218">
        <v>1112676.9217453124</v>
      </c>
      <c r="N46" s="218">
        <v>155</v>
      </c>
      <c r="O46" s="218">
        <v>282</v>
      </c>
      <c r="P46" s="218">
        <v>267</v>
      </c>
      <c r="Q46" s="218">
        <v>462</v>
      </c>
      <c r="R46" s="218">
        <v>447</v>
      </c>
      <c r="S46" s="218"/>
    </row>
    <row r="47" spans="1:19" x14ac:dyDescent="0.25">
      <c r="A47" s="215" t="s">
        <v>217</v>
      </c>
      <c r="B47" s="216">
        <v>2024</v>
      </c>
      <c r="C47" s="251">
        <f>C46*1.065</f>
        <v>53.523704999999993</v>
      </c>
      <c r="D47" s="219"/>
      <c r="E47" s="219"/>
      <c r="F47" s="219"/>
      <c r="G47" s="219"/>
      <c r="H47" s="219"/>
      <c r="I47" s="219"/>
      <c r="J47" s="197"/>
      <c r="K47" s="202">
        <f>($M47/$N47+O47*$C47)/Q47</f>
        <v>48.208323799683178</v>
      </c>
      <c r="L47" s="202">
        <f>($M47/$N47+P47*$C47)/R47</f>
        <v>48.029955303028245</v>
      </c>
      <c r="M47" s="303">
        <f>M43</f>
        <v>1112676.9217453124</v>
      </c>
      <c r="N47" s="303">
        <v>155</v>
      </c>
      <c r="O47" s="303">
        <v>282</v>
      </c>
      <c r="P47" s="303">
        <v>267</v>
      </c>
      <c r="Q47" s="303">
        <v>462</v>
      </c>
      <c r="R47" s="303">
        <v>447</v>
      </c>
      <c r="S47" s="198"/>
    </row>
    <row r="48" spans="1:19" x14ac:dyDescent="0.25">
      <c r="A48" s="204"/>
      <c r="B48" s="205"/>
      <c r="C48" s="206"/>
      <c r="D48" s="206"/>
      <c r="E48" s="206"/>
      <c r="F48" s="206"/>
      <c r="G48" s="206"/>
      <c r="H48" s="206"/>
      <c r="I48" s="206"/>
      <c r="J48" s="221"/>
      <c r="K48" s="207"/>
      <c r="L48" s="207"/>
      <c r="M48" s="222"/>
      <c r="N48" s="222"/>
      <c r="O48" s="222"/>
      <c r="P48" s="222"/>
      <c r="Q48" s="222"/>
      <c r="R48" s="222"/>
      <c r="S48" s="222"/>
    </row>
    <row r="49" spans="1:19" x14ac:dyDescent="0.25">
      <c r="A49" s="191" t="s">
        <v>242</v>
      </c>
      <c r="B49" s="192">
        <v>2023</v>
      </c>
      <c r="C49" s="193"/>
      <c r="D49" s="193"/>
      <c r="E49" s="193"/>
      <c r="F49" s="193"/>
      <c r="G49" s="193"/>
      <c r="H49" s="193"/>
      <c r="I49" s="200"/>
      <c r="J49" s="194"/>
      <c r="K49" s="193"/>
      <c r="L49" s="193"/>
      <c r="M49" s="195"/>
      <c r="N49" s="195"/>
      <c r="O49" s="195"/>
      <c r="P49" s="195"/>
      <c r="Q49" s="195"/>
      <c r="R49" s="195"/>
      <c r="S49" s="195"/>
    </row>
    <row r="50" spans="1:19" x14ac:dyDescent="0.25">
      <c r="A50" s="215" t="s">
        <v>242</v>
      </c>
      <c r="B50" s="216">
        <v>2024</v>
      </c>
      <c r="C50" s="196"/>
      <c r="D50" s="196"/>
      <c r="E50" s="196"/>
      <c r="F50" s="196"/>
      <c r="G50" s="196"/>
      <c r="H50" s="196"/>
      <c r="I50" s="219"/>
      <c r="J50" s="197"/>
      <c r="K50" s="196"/>
      <c r="L50" s="196"/>
      <c r="M50" s="198"/>
      <c r="N50" s="198"/>
      <c r="O50" s="198"/>
      <c r="P50" s="198"/>
      <c r="Q50" s="198"/>
      <c r="R50" s="198"/>
      <c r="S50" s="198"/>
    </row>
    <row r="51" spans="1:19" x14ac:dyDescent="0.25">
      <c r="A51" s="191" t="s">
        <v>241</v>
      </c>
      <c r="B51" s="192">
        <v>2023</v>
      </c>
      <c r="C51" s="193"/>
      <c r="D51" s="193"/>
      <c r="E51" s="193"/>
      <c r="F51" s="193"/>
      <c r="G51" s="193"/>
      <c r="H51" s="193"/>
      <c r="I51" s="200"/>
      <c r="J51" s="194"/>
      <c r="K51" s="193"/>
      <c r="L51" s="193"/>
      <c r="M51" s="195"/>
      <c r="N51" s="195"/>
      <c r="O51" s="195"/>
      <c r="P51" s="195"/>
      <c r="Q51" s="195"/>
      <c r="R51" s="195"/>
      <c r="S51" s="195"/>
    </row>
    <row r="52" spans="1:19" x14ac:dyDescent="0.25">
      <c r="A52" s="215" t="s">
        <v>241</v>
      </c>
      <c r="B52" s="216">
        <v>2024</v>
      </c>
      <c r="C52" s="196"/>
      <c r="D52" s="196"/>
      <c r="E52" s="196"/>
      <c r="F52" s="196"/>
      <c r="G52" s="196"/>
      <c r="H52" s="196"/>
      <c r="I52" s="219"/>
      <c r="J52" s="197"/>
      <c r="K52" s="196"/>
      <c r="L52" s="196"/>
      <c r="M52" s="198"/>
      <c r="N52" s="198"/>
      <c r="O52" s="198"/>
      <c r="P52" s="198"/>
      <c r="Q52" s="198"/>
      <c r="R52" s="198"/>
      <c r="S52" s="198"/>
    </row>
    <row r="53" spans="1:19" x14ac:dyDescent="0.25">
      <c r="A53" s="191" t="s">
        <v>243</v>
      </c>
      <c r="B53" s="192">
        <v>2023</v>
      </c>
      <c r="C53" s="193"/>
      <c r="D53" s="193"/>
      <c r="E53" s="193"/>
      <c r="F53" s="193"/>
      <c r="G53" s="193"/>
      <c r="H53" s="193"/>
      <c r="I53" s="200"/>
      <c r="J53" s="194"/>
      <c r="K53" s="193"/>
      <c r="L53" s="193"/>
      <c r="M53" s="195"/>
      <c r="N53" s="195"/>
      <c r="O53" s="195"/>
      <c r="P53" s="195"/>
      <c r="Q53" s="195"/>
      <c r="R53" s="195"/>
      <c r="S53" s="195">
        <v>15.337</v>
      </c>
    </row>
    <row r="54" spans="1:19" x14ac:dyDescent="0.25">
      <c r="A54" s="215" t="s">
        <v>243</v>
      </c>
      <c r="B54" s="216">
        <v>2024</v>
      </c>
      <c r="C54" s="196"/>
      <c r="D54" s="196"/>
      <c r="E54" s="196"/>
      <c r="F54" s="196"/>
      <c r="G54" s="196"/>
      <c r="H54" s="196"/>
      <c r="I54" s="219"/>
      <c r="J54" s="197"/>
      <c r="K54" s="196"/>
      <c r="L54" s="196"/>
      <c r="M54" s="198"/>
      <c r="N54" s="198"/>
      <c r="O54" s="198"/>
      <c r="P54" s="198"/>
      <c r="Q54" s="198"/>
      <c r="R54" s="198"/>
      <c r="S54" s="196">
        <f>484/30</f>
        <v>16.133333333333333</v>
      </c>
    </row>
    <row r="55" spans="1:19" x14ac:dyDescent="0.25">
      <c r="A55" s="191" t="s">
        <v>244</v>
      </c>
      <c r="B55" s="192">
        <v>2023</v>
      </c>
      <c r="C55" s="193"/>
      <c r="D55" s="193"/>
      <c r="E55" s="193"/>
      <c r="F55" s="193"/>
      <c r="G55" s="193"/>
      <c r="H55" s="193"/>
      <c r="I55" s="200"/>
      <c r="J55" s="194"/>
      <c r="K55" s="193"/>
      <c r="L55" s="193"/>
      <c r="M55" s="195"/>
      <c r="N55" s="195"/>
      <c r="O55" s="195"/>
      <c r="P55" s="195"/>
      <c r="Q55" s="195"/>
      <c r="R55" s="195"/>
      <c r="S55" s="195">
        <v>16.34</v>
      </c>
    </row>
    <row r="56" spans="1:19" x14ac:dyDescent="0.25">
      <c r="A56" s="215" t="s">
        <v>244</v>
      </c>
      <c r="B56" s="216">
        <v>2024</v>
      </c>
      <c r="C56" s="196"/>
      <c r="D56" s="196"/>
      <c r="E56" s="196"/>
      <c r="F56" s="196"/>
      <c r="G56" s="196"/>
      <c r="H56" s="196"/>
      <c r="I56" s="219"/>
      <c r="J56" s="197"/>
      <c r="K56" s="196"/>
      <c r="L56" s="196"/>
      <c r="M56" s="198"/>
      <c r="N56" s="198"/>
      <c r="O56" s="198"/>
      <c r="P56" s="198"/>
      <c r="Q56" s="198"/>
      <c r="R56" s="198"/>
      <c r="S56" s="196">
        <f>515.7/30</f>
        <v>17.190000000000001</v>
      </c>
    </row>
    <row r="57" spans="1:19" x14ac:dyDescent="0.25">
      <c r="A57" s="208"/>
      <c r="B57" s="209"/>
      <c r="C57" s="210"/>
      <c r="D57" s="210"/>
      <c r="E57" s="210"/>
      <c r="F57" s="210"/>
      <c r="G57" s="210"/>
      <c r="H57" s="210"/>
      <c r="I57" s="210"/>
      <c r="J57" s="223"/>
      <c r="K57" s="211"/>
      <c r="L57" s="211"/>
      <c r="M57" s="224"/>
      <c r="N57" s="224"/>
      <c r="O57" s="224"/>
      <c r="P57" s="224"/>
      <c r="Q57" s="224"/>
      <c r="R57" s="224"/>
      <c r="S57" s="224"/>
    </row>
    <row r="58" spans="1:19" ht="45" x14ac:dyDescent="0.25">
      <c r="A58" s="199" t="s">
        <v>252</v>
      </c>
      <c r="B58" s="192">
        <v>2023</v>
      </c>
      <c r="C58" s="193">
        <v>22.086666666666666</v>
      </c>
      <c r="D58" s="193">
        <v>24.062337662337661</v>
      </c>
      <c r="E58" s="193">
        <v>19.633507853403138</v>
      </c>
      <c r="F58" s="193">
        <v>21.05</v>
      </c>
      <c r="G58" s="193">
        <v>27.466666666666665</v>
      </c>
      <c r="H58" s="193">
        <v>22.641791044776117</v>
      </c>
      <c r="I58" s="200"/>
      <c r="J58" s="194"/>
      <c r="K58" s="193"/>
      <c r="L58" s="193"/>
      <c r="M58" s="195"/>
      <c r="N58" s="195"/>
      <c r="O58" s="195"/>
      <c r="P58" s="195"/>
      <c r="Q58" s="195"/>
      <c r="R58" s="195"/>
      <c r="S58" s="195"/>
    </row>
    <row r="59" spans="1:19" ht="45" x14ac:dyDescent="0.25">
      <c r="A59" s="217" t="s">
        <v>252</v>
      </c>
      <c r="B59" s="216">
        <v>2024</v>
      </c>
      <c r="C59" s="196">
        <f>698.4/30</f>
        <v>23.279999999999998</v>
      </c>
      <c r="D59" s="196">
        <f>1952.9/77</f>
        <v>25.362337662337662</v>
      </c>
      <c r="E59" s="196">
        <f>395.3/19.1</f>
        <v>20.69633507853403</v>
      </c>
      <c r="F59" s="196">
        <f>1109.3/50</f>
        <v>22.186</v>
      </c>
      <c r="G59" s="196">
        <f>217.1/7.5</f>
        <v>28.946666666666665</v>
      </c>
      <c r="H59" s="196">
        <f>319.8/13.4</f>
        <v>23.865671641791046</v>
      </c>
      <c r="I59" s="219"/>
      <c r="J59" s="197"/>
      <c r="K59" s="196"/>
      <c r="L59" s="196"/>
      <c r="M59" s="198"/>
      <c r="N59" s="198"/>
      <c r="O59" s="198"/>
      <c r="P59" s="198"/>
      <c r="Q59" s="198"/>
      <c r="R59" s="198"/>
      <c r="S59" s="196"/>
    </row>
    <row r="60" spans="1:19" x14ac:dyDescent="0.25">
      <c r="A60" s="208"/>
      <c r="B60" s="209"/>
      <c r="C60" s="210"/>
      <c r="D60" s="210"/>
      <c r="E60" s="210"/>
      <c r="F60" s="210"/>
      <c r="G60" s="210"/>
      <c r="H60" s="210"/>
      <c r="I60" s="210"/>
      <c r="J60" s="223"/>
      <c r="K60" s="211"/>
      <c r="L60" s="211"/>
      <c r="M60" s="224"/>
      <c r="N60" s="224"/>
      <c r="O60" s="224"/>
      <c r="P60" s="224"/>
      <c r="Q60" s="224"/>
      <c r="R60" s="224"/>
      <c r="S60" s="224"/>
    </row>
    <row r="61" spans="1:19" x14ac:dyDescent="0.25">
      <c r="A61" s="191" t="s">
        <v>268</v>
      </c>
      <c r="B61" s="192">
        <v>2023</v>
      </c>
      <c r="C61" s="193">
        <v>16.71</v>
      </c>
      <c r="D61" s="193">
        <v>23.77</v>
      </c>
      <c r="E61" s="193">
        <v>19.25</v>
      </c>
      <c r="F61" s="193">
        <v>16.010000000000002</v>
      </c>
      <c r="G61" s="193">
        <v>0</v>
      </c>
      <c r="H61" s="193">
        <v>21.18</v>
      </c>
      <c r="I61" s="193"/>
      <c r="J61" s="194"/>
      <c r="K61" s="193"/>
      <c r="L61" s="193"/>
      <c r="M61" s="195"/>
      <c r="N61" s="195"/>
      <c r="O61" s="195"/>
      <c r="P61" s="195"/>
      <c r="Q61" s="195"/>
      <c r="R61" s="195"/>
      <c r="S61" s="195"/>
    </row>
    <row r="62" spans="1:19" x14ac:dyDescent="0.25">
      <c r="A62" s="215" t="s">
        <v>268</v>
      </c>
      <c r="B62" s="216">
        <v>2024</v>
      </c>
      <c r="C62" s="196"/>
      <c r="D62" s="196"/>
      <c r="E62" s="196"/>
      <c r="F62" s="196"/>
      <c r="G62" s="196"/>
      <c r="H62" s="196"/>
      <c r="I62" s="196"/>
      <c r="J62" s="197"/>
      <c r="K62" s="196"/>
      <c r="L62" s="196"/>
      <c r="M62" s="198"/>
      <c r="N62" s="198"/>
      <c r="O62" s="198"/>
      <c r="P62" s="198"/>
      <c r="Q62" s="198"/>
      <c r="R62" s="198"/>
      <c r="S62" s="198"/>
    </row>
    <row r="63" spans="1:19" x14ac:dyDescent="0.25">
      <c r="A63" s="191" t="s">
        <v>289</v>
      </c>
      <c r="B63" s="192">
        <v>2023</v>
      </c>
      <c r="C63" s="193">
        <v>17.125999999999998</v>
      </c>
      <c r="D63" s="193">
        <v>24.714025974025976</v>
      </c>
      <c r="E63" s="193">
        <v>14.412041884816752</v>
      </c>
      <c r="F63" s="193">
        <v>16.323</v>
      </c>
      <c r="G63" s="193">
        <v>30.776</v>
      </c>
      <c r="H63" s="193">
        <v>21.623595505617974</v>
      </c>
      <c r="I63" s="193"/>
      <c r="J63" s="194"/>
      <c r="K63" s="193"/>
      <c r="L63" s="193"/>
      <c r="M63" s="195"/>
      <c r="N63" s="195"/>
      <c r="O63" s="195"/>
      <c r="P63" s="195"/>
      <c r="Q63" s="195"/>
      <c r="R63" s="195"/>
      <c r="S63" s="195"/>
    </row>
    <row r="64" spans="1:19" x14ac:dyDescent="0.25">
      <c r="A64" s="215" t="s">
        <v>289</v>
      </c>
      <c r="B64" s="216">
        <v>2023</v>
      </c>
      <c r="C64" s="196">
        <v>18.07</v>
      </c>
      <c r="D64" s="196">
        <v>26.07</v>
      </c>
      <c r="E64" s="196"/>
      <c r="F64" s="196">
        <v>17.22</v>
      </c>
      <c r="G64" s="196"/>
      <c r="H64" s="196"/>
      <c r="I64" s="196"/>
      <c r="J64" s="197"/>
      <c r="K64" s="196"/>
      <c r="L64" s="196"/>
      <c r="M64" s="198"/>
      <c r="N64" s="198"/>
      <c r="O64" s="198"/>
      <c r="P64" s="198"/>
      <c r="Q64" s="198"/>
      <c r="R64" s="198"/>
      <c r="S64" s="198"/>
    </row>
  </sheetData>
  <sheetProtection algorithmName="SHA-512" hashValue="qBHZ0hSuZrrluPAlXRSQFfkt7Bix250vQnNEWo72A+3SdlzHXj3viNXIydcbfK7iYPScMCPDdvcRJFq2xccvHw==" saltValue="mZaVl68bq2RmJQZdFOCWcQ==" spinCount="100000" sheet="1" formatCells="0" formatColumns="0" formatRows="0"/>
  <autoFilter ref="A3:R47" xr:uid="{00000000-0009-0000-0000-000001000000}"/>
  <pageMargins left="0.7" right="0.7" top="0.75" bottom="0.75" header="0.3" footer="0.3"/>
  <pageSetup paperSize="9" scale="61" fitToHeight="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PAEDS Comparitive Tariffs</vt:lpstr>
      <vt:lpstr>RCFs</vt:lpstr>
      <vt:lpstr>'PAEDS Comparitive Tariffs'!Print_Area</vt:lpstr>
      <vt:lpstr>'PAEDS Comparitive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Kotze</cp:lastModifiedBy>
  <cp:lastPrinted>2022-02-02T07:40:04Z</cp:lastPrinted>
  <dcterms:created xsi:type="dcterms:W3CDTF">2007-01-02T12:57:15Z</dcterms:created>
  <dcterms:modified xsi:type="dcterms:W3CDTF">2024-03-05T21:36:02Z</dcterms:modified>
</cp:coreProperties>
</file>