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8_{275DEF7B-EDDD-43B2-9E63-9DCBB92688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Tariffs'!$A$1:$BB$86</definedName>
    <definedName name="_xlnm.Print_Titles" localSheetId="0">'Gynae Comparative Tariffs'!$A:$E,'Gynae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F21" i="1" l="1"/>
  <c r="AF20" i="1"/>
  <c r="AF19" i="1"/>
  <c r="H59" i="2" l="1"/>
  <c r="G59" i="2"/>
  <c r="F59" i="2"/>
  <c r="E59" i="2"/>
  <c r="D59" i="2"/>
  <c r="C59" i="2"/>
  <c r="S56" i="2"/>
  <c r="S54" i="2"/>
  <c r="C47" i="2"/>
  <c r="C45" i="2"/>
  <c r="M43" i="2"/>
  <c r="M47" i="2" s="1"/>
  <c r="L43" i="2"/>
  <c r="K43" i="2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D28" i="2"/>
  <c r="D27" i="2" s="1"/>
  <c r="C28" i="2"/>
  <c r="C27" i="2" s="1"/>
  <c r="F27" i="2"/>
  <c r="E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4" i="2"/>
  <c r="E24" i="2"/>
  <c r="D24" i="2"/>
  <c r="H23" i="2"/>
  <c r="G23" i="2"/>
  <c r="G24" i="2" s="1"/>
  <c r="F23" i="2"/>
  <c r="F24" i="2" s="1"/>
  <c r="E23" i="2"/>
  <c r="D23" i="2"/>
  <c r="C23" i="2"/>
  <c r="C24" i="2" s="1"/>
  <c r="H22" i="2"/>
  <c r="G22" i="2"/>
  <c r="F22" i="2"/>
  <c r="E22" i="2"/>
  <c r="D22" i="2"/>
  <c r="C22" i="2"/>
  <c r="G7" i="2"/>
  <c r="F7" i="2"/>
  <c r="D7" i="2"/>
  <c r="C7" i="2"/>
  <c r="L47" i="2" l="1"/>
  <c r="K47" i="2"/>
  <c r="AX70" i="1" l="1"/>
  <c r="AW70" i="1" s="1"/>
  <c r="AX71" i="1"/>
  <c r="AW71" i="1" s="1"/>
  <c r="AX69" i="1"/>
  <c r="AW69" i="1" s="1"/>
  <c r="AX68" i="1"/>
  <c r="AX67" i="1"/>
  <c r="AW67" i="1" s="1"/>
  <c r="AX66" i="1"/>
  <c r="AW66" i="1" s="1"/>
  <c r="AX84" i="1"/>
  <c r="AX83" i="1"/>
  <c r="AW83" i="1" s="1"/>
  <c r="AX82" i="1"/>
  <c r="AX81" i="1"/>
  <c r="AW81" i="1" s="1"/>
  <c r="AX80" i="1"/>
  <c r="AX79" i="1"/>
  <c r="AX78" i="1"/>
  <c r="AX77" i="1"/>
  <c r="AW77" i="1" s="1"/>
  <c r="AX76" i="1"/>
  <c r="AW76" i="1" s="1"/>
  <c r="AX75" i="1"/>
  <c r="AW75" i="1" s="1"/>
  <c r="AX65" i="1"/>
  <c r="AX63" i="1"/>
  <c r="AW63" i="1" s="1"/>
  <c r="AX46" i="1"/>
  <c r="AW46" i="1" s="1"/>
  <c r="AX47" i="1"/>
  <c r="AW47" i="1" s="1"/>
  <c r="AX48" i="1"/>
  <c r="AX49" i="1"/>
  <c r="AX50" i="1"/>
  <c r="AW50" i="1" s="1"/>
  <c r="AX51" i="1"/>
  <c r="AW51" i="1" s="1"/>
  <c r="AX52" i="1"/>
  <c r="AX53" i="1"/>
  <c r="AX54" i="1"/>
  <c r="AW54" i="1" s="1"/>
  <c r="AX55" i="1"/>
  <c r="AW55" i="1" s="1"/>
  <c r="AX56" i="1"/>
  <c r="AX57" i="1"/>
  <c r="AX58" i="1"/>
  <c r="AW58" i="1" s="1"/>
  <c r="AX59" i="1"/>
  <c r="AW59" i="1" s="1"/>
  <c r="AX60" i="1"/>
  <c r="AX61" i="1"/>
  <c r="AX45" i="1"/>
  <c r="AW45" i="1" s="1"/>
  <c r="AW84" i="1"/>
  <c r="AW82" i="1"/>
  <c r="AW80" i="1"/>
  <c r="AW79" i="1"/>
  <c r="AW78" i="1"/>
  <c r="AW40" i="1"/>
  <c r="AW41" i="1"/>
  <c r="AW42" i="1"/>
  <c r="AW43" i="1"/>
  <c r="AW44" i="1"/>
  <c r="AW48" i="1"/>
  <c r="AW49" i="1"/>
  <c r="AW52" i="1"/>
  <c r="AW53" i="1"/>
  <c r="AW56" i="1"/>
  <c r="AW57" i="1"/>
  <c r="AW60" i="1"/>
  <c r="AW61" i="1"/>
  <c r="AW62" i="1"/>
  <c r="AW64" i="1"/>
  <c r="AW65" i="1"/>
  <c r="AW68" i="1"/>
  <c r="AW39" i="1"/>
  <c r="AQ22" i="1"/>
  <c r="AX13" i="1" l="1"/>
  <c r="AX14" i="1"/>
  <c r="AX15" i="1"/>
  <c r="AX16" i="1"/>
  <c r="AX17" i="1"/>
  <c r="AX18" i="1"/>
  <c r="AX19" i="1"/>
  <c r="AX20" i="1"/>
  <c r="AX21" i="1"/>
  <c r="AX24" i="1"/>
  <c r="AX25" i="1"/>
  <c r="AX26" i="1"/>
  <c r="AX27" i="1"/>
  <c r="AX28" i="1"/>
  <c r="AX29" i="1"/>
  <c r="AX30" i="1"/>
  <c r="AX31" i="1"/>
  <c r="AX12" i="1"/>
  <c r="AO12" i="1"/>
  <c r="AO13" i="1"/>
  <c r="AO14" i="1"/>
  <c r="AO15" i="1"/>
  <c r="AO16" i="1"/>
  <c r="AO17" i="1"/>
  <c r="AO18" i="1"/>
  <c r="AO19" i="1"/>
  <c r="AO20" i="1"/>
  <c r="AO21" i="1"/>
  <c r="AO24" i="1"/>
  <c r="AO25" i="1"/>
  <c r="AO26" i="1"/>
  <c r="AO27" i="1"/>
  <c r="AO28" i="1"/>
  <c r="AO29" i="1"/>
  <c r="AO30" i="1"/>
  <c r="AO31" i="1"/>
  <c r="AO11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AF61" i="1" l="1"/>
  <c r="AF63" i="1"/>
  <c r="W18" i="1"/>
  <c r="U18" i="1"/>
  <c r="E18" i="1" l="1"/>
  <c r="D18" i="1" s="1"/>
  <c r="G18" i="1"/>
  <c r="I18" i="1"/>
  <c r="V18" i="1"/>
  <c r="X18" i="1"/>
  <c r="Z18" i="1" s="1"/>
  <c r="AK18" i="1"/>
  <c r="AM18" i="1"/>
  <c r="AP18" i="1"/>
  <c r="AV18" i="1"/>
  <c r="AZ18" i="1"/>
  <c r="BB18" i="1"/>
  <c r="BA18" i="1" s="1"/>
  <c r="AC18" i="1" l="1"/>
  <c r="AB18" i="1"/>
  <c r="AA18" i="1"/>
  <c r="AD18" i="1"/>
  <c r="Y18" i="1"/>
  <c r="M18" i="1"/>
  <c r="L18" i="1"/>
  <c r="J18" i="1"/>
  <c r="N18" i="1"/>
  <c r="P18" i="1"/>
  <c r="K18" i="1"/>
  <c r="O18" i="1"/>
  <c r="E17" i="1" l="1"/>
  <c r="D17" i="1" s="1"/>
  <c r="G17" i="1"/>
  <c r="I17" i="1"/>
  <c r="R17" i="1"/>
  <c r="S17" i="1"/>
  <c r="T17" i="1"/>
  <c r="V17" i="1"/>
  <c r="X17" i="1"/>
  <c r="Y17" i="1" s="1"/>
  <c r="AF17" i="1"/>
  <c r="AG17" i="1"/>
  <c r="AH17" i="1"/>
  <c r="AI17" i="1"/>
  <c r="AK17" i="1"/>
  <c r="AM17" i="1"/>
  <c r="AP17" i="1"/>
  <c r="AR17" i="1"/>
  <c r="AS17" i="1"/>
  <c r="AT17" i="1"/>
  <c r="AV17" i="1"/>
  <c r="AZ17" i="1"/>
  <c r="BB17" i="1"/>
  <c r="BA17" i="1" s="1"/>
  <c r="E15" i="1"/>
  <c r="D15" i="1" s="1"/>
  <c r="G15" i="1"/>
  <c r="I15" i="1"/>
  <c r="R15" i="1"/>
  <c r="S15" i="1"/>
  <c r="T15" i="1"/>
  <c r="V15" i="1"/>
  <c r="X15" i="1"/>
  <c r="Y15" i="1" s="1"/>
  <c r="AF15" i="1"/>
  <c r="AG15" i="1"/>
  <c r="AH15" i="1"/>
  <c r="AI15" i="1"/>
  <c r="AK15" i="1"/>
  <c r="AM15" i="1"/>
  <c r="AP15" i="1"/>
  <c r="AR15" i="1"/>
  <c r="AS15" i="1"/>
  <c r="AT15" i="1"/>
  <c r="AV15" i="1"/>
  <c r="AZ15" i="1"/>
  <c r="BB15" i="1"/>
  <c r="BA15" i="1" s="1"/>
  <c r="AB17" i="1" l="1"/>
  <c r="AA17" i="1"/>
  <c r="AD17" i="1"/>
  <c r="Z17" i="1"/>
  <c r="AC17" i="1"/>
  <c r="M17" i="1"/>
  <c r="P17" i="1"/>
  <c r="J17" i="1"/>
  <c r="N17" i="1"/>
  <c r="L17" i="1"/>
  <c r="K17" i="1"/>
  <c r="O17" i="1"/>
  <c r="AB15" i="1"/>
  <c r="AA15" i="1"/>
  <c r="AD15" i="1"/>
  <c r="Z15" i="1"/>
  <c r="AC15" i="1"/>
  <c r="M15" i="1"/>
  <c r="P15" i="1"/>
  <c r="J15" i="1"/>
  <c r="N15" i="1"/>
  <c r="L15" i="1"/>
  <c r="K15" i="1"/>
  <c r="O15" i="1"/>
  <c r="BB45" i="1" l="1"/>
  <c r="BA45" i="1" s="1"/>
  <c r="AV45" i="1"/>
  <c r="AU45" i="1" s="1"/>
  <c r="AR45" i="1"/>
  <c r="AQ45" i="1" s="1"/>
  <c r="AO45" i="1"/>
  <c r="AN45" i="1" s="1"/>
  <c r="AP45" i="1" s="1"/>
  <c r="AF45" i="1"/>
  <c r="AE45" i="1" s="1"/>
  <c r="V45" i="1"/>
  <c r="X45" i="1" s="1"/>
  <c r="R45" i="1"/>
  <c r="Q45" i="1" s="1"/>
  <c r="T45" i="1" s="1"/>
  <c r="I45" i="1"/>
  <c r="P45" i="1" s="1"/>
  <c r="G45" i="1"/>
  <c r="F45" i="1" s="1"/>
  <c r="E45" i="1"/>
  <c r="D45" i="1" s="1"/>
  <c r="AI45" i="1" l="1"/>
  <c r="AH45" i="1"/>
  <c r="AG45" i="1"/>
  <c r="U45" i="1"/>
  <c r="AB45" i="1"/>
  <c r="AA45" i="1"/>
  <c r="W45" i="1"/>
  <c r="Y45" i="1"/>
  <c r="AD45" i="1"/>
  <c r="Z45" i="1"/>
  <c r="AC45" i="1"/>
  <c r="AS45" i="1"/>
  <c r="AT45" i="1"/>
  <c r="J45" i="1"/>
  <c r="N45" i="1"/>
  <c r="K45" i="1"/>
  <c r="O45" i="1"/>
  <c r="S45" i="1"/>
  <c r="M45" i="1"/>
  <c r="H45" i="1"/>
  <c r="L45" i="1"/>
  <c r="AT63" i="1" l="1"/>
  <c r="AT61" i="1"/>
  <c r="Y33" i="1" l="1"/>
  <c r="Y35" i="1"/>
  <c r="Z35" i="1" s="1"/>
  <c r="AA35" i="1" s="1"/>
  <c r="AB35" i="1" s="1"/>
  <c r="AC35" i="1" s="1"/>
  <c r="AD35" i="1" s="1"/>
  <c r="Y34" i="1"/>
  <c r="Z34" i="1" s="1"/>
  <c r="AA34" i="1" s="1"/>
  <c r="AB34" i="1" s="1"/>
  <c r="AC34" i="1" s="1"/>
  <c r="AD34" i="1" s="1"/>
  <c r="Y32" i="1"/>
  <c r="Z32" i="1" s="1"/>
  <c r="AA32" i="1" s="1"/>
  <c r="AB32" i="1" s="1"/>
  <c r="AC32" i="1" s="1"/>
  <c r="AD32" i="1" s="1"/>
  <c r="E30" i="1" l="1"/>
  <c r="D30" i="1" s="1"/>
  <c r="G30" i="1"/>
  <c r="I30" i="1"/>
  <c r="R30" i="1"/>
  <c r="S30" i="1"/>
  <c r="T30" i="1"/>
  <c r="V30" i="1"/>
  <c r="X30" i="1"/>
  <c r="Y30" i="1" s="1"/>
  <c r="AF30" i="1"/>
  <c r="AG30" i="1"/>
  <c r="AH30" i="1"/>
  <c r="AI30" i="1"/>
  <c r="AK30" i="1"/>
  <c r="AM30" i="1"/>
  <c r="AP30" i="1"/>
  <c r="AR30" i="1"/>
  <c r="AS30" i="1"/>
  <c r="AT30" i="1"/>
  <c r="AV30" i="1"/>
  <c r="AZ30" i="1"/>
  <c r="BB30" i="1"/>
  <c r="AB30" i="1" l="1"/>
  <c r="AC30" i="1"/>
  <c r="AA30" i="1"/>
  <c r="AD30" i="1"/>
  <c r="M30" i="1"/>
  <c r="L30" i="1"/>
  <c r="P30" i="1"/>
  <c r="J30" i="1"/>
  <c r="N30" i="1"/>
  <c r="K30" i="1"/>
  <c r="O30" i="1"/>
  <c r="AZ45" i="1" l="1"/>
  <c r="AY45" i="1" s="1"/>
  <c r="AK45" i="1"/>
  <c r="AJ45" i="1" s="1"/>
  <c r="AM45" i="1" l="1"/>
  <c r="AL45" i="1" s="1"/>
  <c r="BB20" i="1" l="1"/>
  <c r="K22" i="1" l="1"/>
  <c r="L22" i="1"/>
  <c r="K23" i="1"/>
  <c r="L23" i="1"/>
  <c r="K39" i="1" l="1"/>
  <c r="L39" i="1"/>
  <c r="K40" i="1"/>
  <c r="L40" i="1"/>
  <c r="K41" i="1"/>
  <c r="L41" i="1"/>
  <c r="K42" i="1"/>
  <c r="L42" i="1"/>
  <c r="K43" i="1"/>
  <c r="L43" i="1"/>
  <c r="K44" i="1"/>
  <c r="L44" i="1"/>
  <c r="K62" i="1"/>
  <c r="L62" i="1"/>
  <c r="K64" i="1"/>
  <c r="L64" i="1"/>
  <c r="AR61" i="1" l="1"/>
  <c r="AM63" i="1"/>
  <c r="AK63" i="1"/>
  <c r="AK61" i="1"/>
  <c r="BB31" i="1"/>
  <c r="BB19" i="1"/>
  <c r="BB16" i="1"/>
  <c r="BB14" i="1"/>
  <c r="BB13" i="1"/>
  <c r="BB12" i="1"/>
  <c r="BB11" i="1"/>
  <c r="G65" i="1" l="1"/>
  <c r="G12" i="1" l="1"/>
  <c r="I12" i="1"/>
  <c r="G13" i="1"/>
  <c r="I13" i="1"/>
  <c r="G14" i="1"/>
  <c r="I14" i="1"/>
  <c r="G16" i="1"/>
  <c r="I16" i="1"/>
  <c r="G19" i="1"/>
  <c r="I19" i="1"/>
  <c r="G20" i="1"/>
  <c r="I20" i="1"/>
  <c r="G21" i="1"/>
  <c r="I21" i="1"/>
  <c r="G24" i="1"/>
  <c r="I24" i="1"/>
  <c r="G25" i="1"/>
  <c r="I25" i="1"/>
  <c r="G26" i="1"/>
  <c r="I26" i="1"/>
  <c r="G27" i="1"/>
  <c r="I27" i="1"/>
  <c r="G28" i="1"/>
  <c r="I28" i="1"/>
  <c r="G29" i="1"/>
  <c r="I29" i="1"/>
  <c r="G31" i="1"/>
  <c r="I31" i="1"/>
  <c r="G11" i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F65" i="1"/>
  <c r="F64" i="1"/>
  <c r="G63" i="1"/>
  <c r="F63" i="1" s="1"/>
  <c r="F62" i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F44" i="1"/>
  <c r="F43" i="1"/>
  <c r="F42" i="1"/>
  <c r="F41" i="1"/>
  <c r="F40" i="1"/>
  <c r="F39" i="1"/>
  <c r="K26" i="1" l="1"/>
  <c r="L26" i="1"/>
  <c r="K28" i="1"/>
  <c r="L28" i="1"/>
  <c r="K20" i="1"/>
  <c r="L20" i="1"/>
  <c r="K16" i="1"/>
  <c r="L16" i="1"/>
  <c r="K29" i="1"/>
  <c r="L29" i="1"/>
  <c r="L27" i="1"/>
  <c r="K27" i="1"/>
  <c r="K25" i="1"/>
  <c r="L25" i="1"/>
  <c r="L21" i="1"/>
  <c r="K21" i="1"/>
  <c r="K19" i="1"/>
  <c r="L19" i="1"/>
  <c r="L14" i="1"/>
  <c r="K14" i="1"/>
  <c r="L12" i="1"/>
  <c r="K12" i="1"/>
  <c r="K31" i="1"/>
  <c r="L31" i="1"/>
  <c r="K24" i="1"/>
  <c r="L24" i="1"/>
  <c r="K13" i="1"/>
  <c r="L13" i="1"/>
  <c r="I76" i="1"/>
  <c r="R76" i="1"/>
  <c r="Q76" i="1" s="1"/>
  <c r="V76" i="1"/>
  <c r="X76" i="1" s="1"/>
  <c r="AF76" i="1"/>
  <c r="AE76" i="1" s="1"/>
  <c r="AK76" i="1"/>
  <c r="AJ76" i="1" s="1"/>
  <c r="AM76" i="1"/>
  <c r="AL76" i="1" s="1"/>
  <c r="AO76" i="1"/>
  <c r="AN76" i="1" s="1"/>
  <c r="AP76" i="1" s="1"/>
  <c r="AR76" i="1"/>
  <c r="AQ76" i="1" s="1"/>
  <c r="I77" i="1"/>
  <c r="R77" i="1"/>
  <c r="Q77" i="1" s="1"/>
  <c r="V77" i="1"/>
  <c r="X77" i="1" s="1"/>
  <c r="AF77" i="1"/>
  <c r="AE77" i="1" s="1"/>
  <c r="AK77" i="1"/>
  <c r="AJ77" i="1" s="1"/>
  <c r="AM77" i="1"/>
  <c r="AL77" i="1" s="1"/>
  <c r="AO77" i="1"/>
  <c r="AN77" i="1" s="1"/>
  <c r="AP77" i="1" s="1"/>
  <c r="AR77" i="1"/>
  <c r="AQ77" i="1" s="1"/>
  <c r="AS77" i="1" s="1"/>
  <c r="I78" i="1"/>
  <c r="R78" i="1"/>
  <c r="Q78" i="1" s="1"/>
  <c r="V78" i="1"/>
  <c r="X78" i="1" s="1"/>
  <c r="AF78" i="1"/>
  <c r="AE78" i="1" s="1"/>
  <c r="AK78" i="1"/>
  <c r="AJ78" i="1" s="1"/>
  <c r="AM78" i="1"/>
  <c r="AL78" i="1" s="1"/>
  <c r="AO78" i="1"/>
  <c r="AN78" i="1" s="1"/>
  <c r="AP78" i="1" s="1"/>
  <c r="AR78" i="1"/>
  <c r="AQ78" i="1" s="1"/>
  <c r="I79" i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I80" i="1"/>
  <c r="R80" i="1"/>
  <c r="Q80" i="1" s="1"/>
  <c r="V80" i="1"/>
  <c r="U80" i="1" s="1"/>
  <c r="AF80" i="1"/>
  <c r="AE80" i="1" s="1"/>
  <c r="AK80" i="1"/>
  <c r="AJ80" i="1" s="1"/>
  <c r="AM80" i="1"/>
  <c r="AL80" i="1" s="1"/>
  <c r="AO80" i="1"/>
  <c r="AN80" i="1" s="1"/>
  <c r="AP80" i="1" s="1"/>
  <c r="AR80" i="1"/>
  <c r="AQ80" i="1" s="1"/>
  <c r="I81" i="1"/>
  <c r="R81" i="1"/>
  <c r="Q81" i="1" s="1"/>
  <c r="V81" i="1"/>
  <c r="X81" i="1" s="1"/>
  <c r="AF81" i="1"/>
  <c r="AE81" i="1" s="1"/>
  <c r="AG81" i="1" s="1"/>
  <c r="AK81" i="1"/>
  <c r="AJ81" i="1" s="1"/>
  <c r="AM81" i="1"/>
  <c r="AL81" i="1" s="1"/>
  <c r="AO81" i="1"/>
  <c r="AN81" i="1" s="1"/>
  <c r="AP81" i="1" s="1"/>
  <c r="AR81" i="1"/>
  <c r="AQ81" i="1" s="1"/>
  <c r="AT81" i="1" s="1"/>
  <c r="I82" i="1"/>
  <c r="R82" i="1"/>
  <c r="Q82" i="1" s="1"/>
  <c r="V82" i="1"/>
  <c r="U82" i="1" s="1"/>
  <c r="AF82" i="1"/>
  <c r="AE82" i="1" s="1"/>
  <c r="AK82" i="1"/>
  <c r="AJ82" i="1" s="1"/>
  <c r="AM82" i="1"/>
  <c r="AL82" i="1" s="1"/>
  <c r="AO82" i="1"/>
  <c r="AN82" i="1" s="1"/>
  <c r="AP82" i="1" s="1"/>
  <c r="AR82" i="1"/>
  <c r="AQ82" i="1" s="1"/>
  <c r="I83" i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I84" i="1"/>
  <c r="R84" i="1"/>
  <c r="Q84" i="1" s="1"/>
  <c r="V84" i="1"/>
  <c r="U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Z76" i="1"/>
  <c r="AY76" i="1" s="1"/>
  <c r="BB76" i="1"/>
  <c r="BA76" i="1" s="1"/>
  <c r="AZ77" i="1"/>
  <c r="AY77" i="1" s="1"/>
  <c r="BB77" i="1"/>
  <c r="BA77" i="1" s="1"/>
  <c r="AZ78" i="1"/>
  <c r="AY78" i="1" s="1"/>
  <c r="BB78" i="1"/>
  <c r="BA78" i="1" s="1"/>
  <c r="AZ79" i="1"/>
  <c r="AY79" i="1" s="1"/>
  <c r="BB79" i="1"/>
  <c r="BA79" i="1" s="1"/>
  <c r="AZ80" i="1"/>
  <c r="AY80" i="1" s="1"/>
  <c r="BB80" i="1"/>
  <c r="BA80" i="1" s="1"/>
  <c r="AZ81" i="1"/>
  <c r="AY81" i="1" s="1"/>
  <c r="BB81" i="1"/>
  <c r="BA81" i="1" s="1"/>
  <c r="AZ82" i="1"/>
  <c r="AY82" i="1" s="1"/>
  <c r="BB82" i="1"/>
  <c r="BA82" i="1" s="1"/>
  <c r="AZ83" i="1"/>
  <c r="AY83" i="1" s="1"/>
  <c r="BB83" i="1"/>
  <c r="BA83" i="1" s="1"/>
  <c r="AZ84" i="1"/>
  <c r="AY84" i="1" s="1"/>
  <c r="BB84" i="1"/>
  <c r="BA84" i="1" s="1"/>
  <c r="BB75" i="1"/>
  <c r="BA75" i="1" s="1"/>
  <c r="AZ75" i="1"/>
  <c r="AY75" i="1" s="1"/>
  <c r="AR75" i="1"/>
  <c r="AQ75" i="1" s="1"/>
  <c r="AS75" i="1" s="1"/>
  <c r="AO75" i="1"/>
  <c r="AN75" i="1" s="1"/>
  <c r="AP75" i="1" s="1"/>
  <c r="AM75" i="1"/>
  <c r="AL75" i="1" s="1"/>
  <c r="AK75" i="1"/>
  <c r="AJ75" i="1" s="1"/>
  <c r="AF75" i="1"/>
  <c r="AE75" i="1" s="1"/>
  <c r="V75" i="1"/>
  <c r="U75" i="1" s="1"/>
  <c r="R75" i="1"/>
  <c r="Q75" i="1" s="1"/>
  <c r="I75" i="1"/>
  <c r="AV84" i="1"/>
  <c r="AV83" i="1"/>
  <c r="AV82" i="1"/>
  <c r="AV81" i="1"/>
  <c r="AV80" i="1"/>
  <c r="AV79" i="1"/>
  <c r="AV78" i="1"/>
  <c r="AV77" i="1"/>
  <c r="AV76" i="1"/>
  <c r="AV75" i="1"/>
  <c r="M75" i="1" l="1"/>
  <c r="K75" i="1"/>
  <c r="L75" i="1"/>
  <c r="M84" i="1"/>
  <c r="L84" i="1"/>
  <c r="K84" i="1"/>
  <c r="J83" i="1"/>
  <c r="K83" i="1"/>
  <c r="L83" i="1"/>
  <c r="H82" i="1"/>
  <c r="K82" i="1"/>
  <c r="L82" i="1"/>
  <c r="M81" i="1"/>
  <c r="K81" i="1"/>
  <c r="L81" i="1"/>
  <c r="M80" i="1"/>
  <c r="K80" i="1"/>
  <c r="L80" i="1"/>
  <c r="J79" i="1"/>
  <c r="K79" i="1"/>
  <c r="L79" i="1"/>
  <c r="M78" i="1"/>
  <c r="L78" i="1"/>
  <c r="K78" i="1"/>
  <c r="M77" i="1"/>
  <c r="K77" i="1"/>
  <c r="L77" i="1"/>
  <c r="M76" i="1"/>
  <c r="L76" i="1"/>
  <c r="K76" i="1"/>
  <c r="P82" i="1"/>
  <c r="O82" i="1"/>
  <c r="M82" i="1"/>
  <c r="P84" i="1"/>
  <c r="J84" i="1"/>
  <c r="J82" i="1"/>
  <c r="O77" i="1"/>
  <c r="U77" i="1"/>
  <c r="AH79" i="1"/>
  <c r="AG79" i="1"/>
  <c r="AG75" i="1"/>
  <c r="AH75" i="1"/>
  <c r="Z79" i="1"/>
  <c r="AC79" i="1"/>
  <c r="T77" i="1"/>
  <c r="S77" i="1"/>
  <c r="X83" i="1"/>
  <c r="AA83" i="1" s="1"/>
  <c r="J80" i="1"/>
  <c r="U79" i="1"/>
  <c r="P78" i="1"/>
  <c r="O78" i="1"/>
  <c r="N84" i="1"/>
  <c r="U81" i="1"/>
  <c r="P80" i="1"/>
  <c r="J78" i="1"/>
  <c r="P76" i="1"/>
  <c r="N80" i="1"/>
  <c r="AT83" i="1"/>
  <c r="AS83" i="1"/>
  <c r="AG77" i="1"/>
  <c r="AI77" i="1"/>
  <c r="AT79" i="1"/>
  <c r="AS79" i="1"/>
  <c r="T81" i="1"/>
  <c r="S81" i="1"/>
  <c r="N75" i="1"/>
  <c r="X84" i="1"/>
  <c r="Y84" i="1" s="1"/>
  <c r="O84" i="1"/>
  <c r="H84" i="1"/>
  <c r="O83" i="1"/>
  <c r="N82" i="1"/>
  <c r="X80" i="1"/>
  <c r="Z80" i="1" s="1"/>
  <c r="O80" i="1"/>
  <c r="H80" i="1"/>
  <c r="AA79" i="1"/>
  <c r="O79" i="1"/>
  <c r="N78" i="1"/>
  <c r="H78" i="1"/>
  <c r="N76" i="1"/>
  <c r="M83" i="1"/>
  <c r="O81" i="1"/>
  <c r="Y79" i="1"/>
  <c r="M79" i="1"/>
  <c r="J76" i="1"/>
  <c r="AT75" i="1"/>
  <c r="AG83" i="1"/>
  <c r="AB79" i="1"/>
  <c r="W79" i="1"/>
  <c r="O76" i="1"/>
  <c r="H76" i="1"/>
  <c r="AT76" i="1"/>
  <c r="AS76" i="1"/>
  <c r="Z76" i="1"/>
  <c r="AD76" i="1"/>
  <c r="W76" i="1"/>
  <c r="AA76" i="1"/>
  <c r="AB76" i="1"/>
  <c r="Y76" i="1"/>
  <c r="AC76" i="1"/>
  <c r="T82" i="1"/>
  <c r="S82" i="1"/>
  <c r="T78" i="1"/>
  <c r="S78" i="1"/>
  <c r="Y77" i="1"/>
  <c r="AC77" i="1"/>
  <c r="Z77" i="1"/>
  <c r="AD77" i="1"/>
  <c r="W77" i="1"/>
  <c r="AA77" i="1"/>
  <c r="AB77" i="1"/>
  <c r="S76" i="1"/>
  <c r="T76" i="1"/>
  <c r="AB78" i="1"/>
  <c r="Y78" i="1"/>
  <c r="AC78" i="1"/>
  <c r="Z78" i="1"/>
  <c r="AD78" i="1"/>
  <c r="W78" i="1"/>
  <c r="AA78" i="1"/>
  <c r="AI84" i="1"/>
  <c r="AG84" i="1"/>
  <c r="AH84" i="1"/>
  <c r="S84" i="1"/>
  <c r="T84" i="1"/>
  <c r="AI80" i="1"/>
  <c r="AG80" i="1"/>
  <c r="AH80" i="1"/>
  <c r="S80" i="1"/>
  <c r="T80" i="1"/>
  <c r="Y81" i="1"/>
  <c r="Z81" i="1"/>
  <c r="AD81" i="1"/>
  <c r="W81" i="1"/>
  <c r="AA81" i="1"/>
  <c r="AB81" i="1"/>
  <c r="AC81" i="1"/>
  <c r="AS84" i="1"/>
  <c r="AT84" i="1"/>
  <c r="AS82" i="1"/>
  <c r="AT82" i="1"/>
  <c r="AG82" i="1"/>
  <c r="AH82" i="1"/>
  <c r="AI82" i="1"/>
  <c r="AT80" i="1"/>
  <c r="AS80" i="1"/>
  <c r="AS78" i="1"/>
  <c r="AT78" i="1"/>
  <c r="AG78" i="1"/>
  <c r="AH78" i="1"/>
  <c r="AI78" i="1"/>
  <c r="AH76" i="1"/>
  <c r="AI76" i="1"/>
  <c r="AG76" i="1"/>
  <c r="S83" i="1"/>
  <c r="X82" i="1"/>
  <c r="AS81" i="1"/>
  <c r="AI79" i="1"/>
  <c r="AH83" i="1"/>
  <c r="N83" i="1"/>
  <c r="H83" i="1"/>
  <c r="P81" i="1"/>
  <c r="J81" i="1"/>
  <c r="AD79" i="1"/>
  <c r="N79" i="1"/>
  <c r="H79" i="1"/>
  <c r="P77" i="1"/>
  <c r="J77" i="1"/>
  <c r="U76" i="1"/>
  <c r="AI81" i="1"/>
  <c r="P83" i="1"/>
  <c r="AH81" i="1"/>
  <c r="N81" i="1"/>
  <c r="H81" i="1"/>
  <c r="T79" i="1"/>
  <c r="P79" i="1"/>
  <c r="U78" i="1"/>
  <c r="AT77" i="1"/>
  <c r="AH77" i="1"/>
  <c r="N77" i="1"/>
  <c r="H77" i="1"/>
  <c r="T75" i="1"/>
  <c r="S75" i="1"/>
  <c r="O75" i="1"/>
  <c r="AI75" i="1"/>
  <c r="J75" i="1"/>
  <c r="P75" i="1"/>
  <c r="X75" i="1"/>
  <c r="H75" i="1"/>
  <c r="AC84" i="1" l="1"/>
  <c r="W80" i="1"/>
  <c r="AA80" i="1"/>
  <c r="Y80" i="1"/>
  <c r="AC80" i="1"/>
  <c r="W84" i="1"/>
  <c r="Z84" i="1"/>
  <c r="W83" i="1"/>
  <c r="AD83" i="1"/>
  <c r="AA84" i="1"/>
  <c r="AB83" i="1"/>
  <c r="Y83" i="1"/>
  <c r="Z83" i="1"/>
  <c r="AC83" i="1"/>
  <c r="AD80" i="1"/>
  <c r="AB80" i="1"/>
  <c r="AD84" i="1"/>
  <c r="AB84" i="1"/>
  <c r="AB82" i="1"/>
  <c r="Y82" i="1"/>
  <c r="AC82" i="1"/>
  <c r="Z82" i="1"/>
  <c r="AD82" i="1"/>
  <c r="W82" i="1"/>
  <c r="AA82" i="1"/>
  <c r="AC75" i="1"/>
  <c r="Y75" i="1"/>
  <c r="AB75" i="1"/>
  <c r="W75" i="1"/>
  <c r="AD75" i="1"/>
  <c r="Z75" i="1"/>
  <c r="AA75" i="1"/>
  <c r="E64" i="1"/>
  <c r="E62" i="1"/>
  <c r="BB70" i="1"/>
  <c r="AZ70" i="1"/>
  <c r="AV70" i="1"/>
  <c r="BB71" i="1"/>
  <c r="BA71" i="1" s="1"/>
  <c r="AZ71" i="1"/>
  <c r="AY71" i="1" s="1"/>
  <c r="AV71" i="1"/>
  <c r="AV67" i="1"/>
  <c r="AZ67" i="1"/>
  <c r="AY67" i="1" s="1"/>
  <c r="BB67" i="1"/>
  <c r="BA67" i="1" s="1"/>
  <c r="AV68" i="1"/>
  <c r="AZ68" i="1"/>
  <c r="AY68" i="1" s="1"/>
  <c r="BB68" i="1"/>
  <c r="BA68" i="1" s="1"/>
  <c r="AV69" i="1"/>
  <c r="AZ69" i="1"/>
  <c r="AY69" i="1" s="1"/>
  <c r="BB69" i="1"/>
  <c r="BA69" i="1" s="1"/>
  <c r="BB66" i="1"/>
  <c r="AZ66" i="1"/>
  <c r="AV66" i="1"/>
  <c r="BB65" i="1"/>
  <c r="AZ65" i="1"/>
  <c r="AV65" i="1"/>
  <c r="BB63" i="1"/>
  <c r="BA63" i="1" s="1"/>
  <c r="AZ63" i="1"/>
  <c r="AY63" i="1" s="1"/>
  <c r="AV63" i="1"/>
  <c r="AU63" i="1" s="1"/>
  <c r="AV47" i="1"/>
  <c r="AU47" i="1" s="1"/>
  <c r="AZ47" i="1"/>
  <c r="AY47" i="1" s="1"/>
  <c r="BB47" i="1"/>
  <c r="BA47" i="1" s="1"/>
  <c r="AV48" i="1"/>
  <c r="AU48" i="1" s="1"/>
  <c r="AZ48" i="1"/>
  <c r="AY48" i="1" s="1"/>
  <c r="BB48" i="1"/>
  <c r="BA48" i="1" s="1"/>
  <c r="AV49" i="1"/>
  <c r="AU49" i="1" s="1"/>
  <c r="AZ49" i="1"/>
  <c r="AY49" i="1" s="1"/>
  <c r="BB49" i="1"/>
  <c r="BA49" i="1" s="1"/>
  <c r="AV50" i="1"/>
  <c r="AU50" i="1" s="1"/>
  <c r="AZ50" i="1"/>
  <c r="AY50" i="1" s="1"/>
  <c r="BB50" i="1"/>
  <c r="BA50" i="1" s="1"/>
  <c r="AV51" i="1"/>
  <c r="AU51" i="1" s="1"/>
  <c r="AZ51" i="1"/>
  <c r="AY51" i="1" s="1"/>
  <c r="BB51" i="1"/>
  <c r="BA51" i="1" s="1"/>
  <c r="AV52" i="1"/>
  <c r="AU52" i="1" s="1"/>
  <c r="AZ52" i="1"/>
  <c r="AY52" i="1" s="1"/>
  <c r="BB52" i="1"/>
  <c r="BA52" i="1" s="1"/>
  <c r="AV53" i="1"/>
  <c r="AU53" i="1" s="1"/>
  <c r="AZ53" i="1"/>
  <c r="AY53" i="1" s="1"/>
  <c r="BB53" i="1"/>
  <c r="BA53" i="1" s="1"/>
  <c r="AV54" i="1"/>
  <c r="AU54" i="1" s="1"/>
  <c r="AZ54" i="1"/>
  <c r="AY54" i="1" s="1"/>
  <c r="BB54" i="1"/>
  <c r="BA54" i="1" s="1"/>
  <c r="AV55" i="1"/>
  <c r="AU55" i="1" s="1"/>
  <c r="AZ55" i="1"/>
  <c r="AY55" i="1" s="1"/>
  <c r="BB55" i="1"/>
  <c r="BA55" i="1" s="1"/>
  <c r="AV56" i="1"/>
  <c r="AU56" i="1" s="1"/>
  <c r="AZ56" i="1"/>
  <c r="AY56" i="1" s="1"/>
  <c r="BB56" i="1"/>
  <c r="BA56" i="1" s="1"/>
  <c r="AV57" i="1"/>
  <c r="AU57" i="1" s="1"/>
  <c r="AZ57" i="1"/>
  <c r="AY57" i="1" s="1"/>
  <c r="BB57" i="1"/>
  <c r="BA57" i="1" s="1"/>
  <c r="AV58" i="1"/>
  <c r="AU58" i="1" s="1"/>
  <c r="AZ58" i="1"/>
  <c r="AY58" i="1" s="1"/>
  <c r="BB58" i="1"/>
  <c r="BA58" i="1" s="1"/>
  <c r="AV59" i="1"/>
  <c r="AU59" i="1" s="1"/>
  <c r="AZ59" i="1"/>
  <c r="AY59" i="1" s="1"/>
  <c r="BB59" i="1"/>
  <c r="BA59" i="1" s="1"/>
  <c r="AV60" i="1"/>
  <c r="AU60" i="1" s="1"/>
  <c r="AZ60" i="1"/>
  <c r="AY60" i="1" s="1"/>
  <c r="BB60" i="1"/>
  <c r="BA60" i="1" s="1"/>
  <c r="AV61" i="1"/>
  <c r="AU61" i="1" s="1"/>
  <c r="AZ61" i="1"/>
  <c r="AY61" i="1" s="1"/>
  <c r="BB61" i="1"/>
  <c r="BA61" i="1" s="1"/>
  <c r="BB46" i="1"/>
  <c r="BA31" i="1"/>
  <c r="BB21" i="1"/>
  <c r="BA21" i="1" s="1"/>
  <c r="BA13" i="1"/>
  <c r="BA14" i="1"/>
  <c r="BA16" i="1"/>
  <c r="BA11" i="1"/>
  <c r="AZ46" i="1"/>
  <c r="AV46" i="1"/>
  <c r="AR70" i="1"/>
  <c r="AR67" i="1"/>
  <c r="AR68" i="1"/>
  <c r="AR69" i="1"/>
  <c r="AR71" i="1"/>
  <c r="AR66" i="1"/>
  <c r="AR65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46" i="1"/>
  <c r="AO70" i="1"/>
  <c r="AO71" i="1"/>
  <c r="AO69" i="1"/>
  <c r="AO68" i="1"/>
  <c r="AO67" i="1"/>
  <c r="AO66" i="1"/>
  <c r="AO65" i="1"/>
  <c r="AO63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46" i="1"/>
  <c r="AM70" i="1"/>
  <c r="AM71" i="1"/>
  <c r="AM69" i="1"/>
  <c r="AM68" i="1"/>
  <c r="AM67" i="1"/>
  <c r="AM66" i="1"/>
  <c r="AM65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46" i="1"/>
  <c r="AK70" i="1"/>
  <c r="AK71" i="1"/>
  <c r="AK69" i="1"/>
  <c r="AK68" i="1"/>
  <c r="AK67" i="1"/>
  <c r="AK66" i="1"/>
  <c r="AK65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46" i="1"/>
  <c r="AF70" i="1"/>
  <c r="AF71" i="1"/>
  <c r="AF69" i="1"/>
  <c r="AF68" i="1"/>
  <c r="AF67" i="1"/>
  <c r="AF66" i="1"/>
  <c r="AF65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46" i="1"/>
  <c r="V70" i="1"/>
  <c r="U70" i="1" s="1"/>
  <c r="V71" i="1"/>
  <c r="U71" i="1" s="1"/>
  <c r="V69" i="1"/>
  <c r="U69" i="1" s="1"/>
  <c r="V68" i="1"/>
  <c r="X68" i="1" s="1"/>
  <c r="W68" i="1" s="1"/>
  <c r="V67" i="1"/>
  <c r="X67" i="1" s="1"/>
  <c r="W67" i="1" s="1"/>
  <c r="V66" i="1"/>
  <c r="X66" i="1" s="1"/>
  <c r="W66" i="1" s="1"/>
  <c r="V65" i="1"/>
  <c r="X65" i="1" s="1"/>
  <c r="W65" i="1" s="1"/>
  <c r="V63" i="1"/>
  <c r="U63" i="1" s="1"/>
  <c r="V47" i="1"/>
  <c r="U47" i="1" s="1"/>
  <c r="V48" i="1"/>
  <c r="X48" i="1" s="1"/>
  <c r="W48" i="1" s="1"/>
  <c r="V49" i="1"/>
  <c r="X49" i="1" s="1"/>
  <c r="W49" i="1" s="1"/>
  <c r="V50" i="1"/>
  <c r="X50" i="1" s="1"/>
  <c r="W50" i="1" s="1"/>
  <c r="V51" i="1"/>
  <c r="X51" i="1" s="1"/>
  <c r="W51" i="1" s="1"/>
  <c r="V52" i="1"/>
  <c r="X52" i="1" s="1"/>
  <c r="W52" i="1" s="1"/>
  <c r="V53" i="1"/>
  <c r="X53" i="1" s="1"/>
  <c r="W53" i="1" s="1"/>
  <c r="V54" i="1"/>
  <c r="X54" i="1" s="1"/>
  <c r="W54" i="1" s="1"/>
  <c r="V55" i="1"/>
  <c r="U55" i="1" s="1"/>
  <c r="V56" i="1"/>
  <c r="X56" i="1" s="1"/>
  <c r="W56" i="1" s="1"/>
  <c r="V57" i="1"/>
  <c r="U57" i="1" s="1"/>
  <c r="V58" i="1"/>
  <c r="U58" i="1" s="1"/>
  <c r="V59" i="1"/>
  <c r="X59" i="1" s="1"/>
  <c r="W59" i="1" s="1"/>
  <c r="V60" i="1"/>
  <c r="U60" i="1" s="1"/>
  <c r="V61" i="1"/>
  <c r="X61" i="1" s="1"/>
  <c r="W61" i="1" s="1"/>
  <c r="V46" i="1"/>
  <c r="X46" i="1" s="1"/>
  <c r="W46" i="1" s="1"/>
  <c r="X40" i="1"/>
  <c r="W40" i="1" s="1"/>
  <c r="X41" i="1"/>
  <c r="W41" i="1" s="1"/>
  <c r="X42" i="1"/>
  <c r="W42" i="1" s="1"/>
  <c r="X43" i="1"/>
  <c r="W43" i="1" s="1"/>
  <c r="X44" i="1"/>
  <c r="W44" i="1" s="1"/>
  <c r="X62" i="1"/>
  <c r="W62" i="1" s="1"/>
  <c r="X64" i="1"/>
  <c r="W64" i="1" s="1"/>
  <c r="X39" i="1"/>
  <c r="W39" i="1" s="1"/>
  <c r="U40" i="1"/>
  <c r="U41" i="1"/>
  <c r="U42" i="1"/>
  <c r="U43" i="1"/>
  <c r="U44" i="1"/>
  <c r="U62" i="1"/>
  <c r="U64" i="1"/>
  <c r="U39" i="1"/>
  <c r="R70" i="1"/>
  <c r="R71" i="1"/>
  <c r="R69" i="1"/>
  <c r="R68" i="1"/>
  <c r="R67" i="1"/>
  <c r="R66" i="1"/>
  <c r="R65" i="1"/>
  <c r="R63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46" i="1"/>
  <c r="I70" i="1"/>
  <c r="I71" i="1"/>
  <c r="I69" i="1"/>
  <c r="I68" i="1"/>
  <c r="I67" i="1"/>
  <c r="I66" i="1"/>
  <c r="I65" i="1"/>
  <c r="I63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6" i="1"/>
  <c r="BA19" i="1"/>
  <c r="BA12" i="1"/>
  <c r="BA23" i="1"/>
  <c r="BA22" i="1"/>
  <c r="AM12" i="1"/>
  <c r="AM13" i="1"/>
  <c r="AM14" i="1"/>
  <c r="AM16" i="1"/>
  <c r="AM19" i="1"/>
  <c r="AM20" i="1"/>
  <c r="AM21" i="1"/>
  <c r="AM24" i="1"/>
  <c r="AM25" i="1"/>
  <c r="AM26" i="1"/>
  <c r="AM27" i="1"/>
  <c r="AM28" i="1"/>
  <c r="AM29" i="1"/>
  <c r="AM31" i="1"/>
  <c r="AM11" i="1"/>
  <c r="X47" i="1" l="1"/>
  <c r="W47" i="1" s="1"/>
  <c r="X60" i="1"/>
  <c r="W60" i="1" s="1"/>
  <c r="K55" i="1"/>
  <c r="L55" i="1"/>
  <c r="K70" i="1"/>
  <c r="L70" i="1"/>
  <c r="K46" i="1"/>
  <c r="L46" i="1"/>
  <c r="K58" i="1"/>
  <c r="L58" i="1"/>
  <c r="K54" i="1"/>
  <c r="L54" i="1"/>
  <c r="K50" i="1"/>
  <c r="L50" i="1"/>
  <c r="L63" i="1"/>
  <c r="K63" i="1"/>
  <c r="K68" i="1"/>
  <c r="L68" i="1"/>
  <c r="L59" i="1"/>
  <c r="K59" i="1"/>
  <c r="L47" i="1"/>
  <c r="K47" i="1"/>
  <c r="K61" i="1"/>
  <c r="L61" i="1"/>
  <c r="L57" i="1"/>
  <c r="K57" i="1"/>
  <c r="L53" i="1"/>
  <c r="K53" i="1"/>
  <c r="K49" i="1"/>
  <c r="L49" i="1"/>
  <c r="L65" i="1"/>
  <c r="K65" i="1"/>
  <c r="K69" i="1"/>
  <c r="L69" i="1"/>
  <c r="L51" i="1"/>
  <c r="K51" i="1"/>
  <c r="L67" i="1"/>
  <c r="K67" i="1"/>
  <c r="K60" i="1"/>
  <c r="L60" i="1"/>
  <c r="K56" i="1"/>
  <c r="L56" i="1"/>
  <c r="K52" i="1"/>
  <c r="L52" i="1"/>
  <c r="K48" i="1"/>
  <c r="L48" i="1"/>
  <c r="K66" i="1"/>
  <c r="L66" i="1"/>
  <c r="L71" i="1"/>
  <c r="K71" i="1"/>
  <c r="X58" i="1"/>
  <c r="W58" i="1" s="1"/>
  <c r="U54" i="1"/>
  <c r="X63" i="1"/>
  <c r="W63" i="1" s="1"/>
  <c r="U50" i="1"/>
  <c r="U68" i="1"/>
  <c r="U48" i="1"/>
  <c r="U52" i="1"/>
  <c r="U56" i="1"/>
  <c r="U67" i="1"/>
  <c r="X70" i="1"/>
  <c r="W70" i="1" s="1"/>
  <c r="U61" i="1"/>
  <c r="U53" i="1"/>
  <c r="X55" i="1"/>
  <c r="W55" i="1" s="1"/>
  <c r="U65" i="1"/>
  <c r="X69" i="1"/>
  <c r="W69" i="1" s="1"/>
  <c r="X71" i="1"/>
  <c r="W71" i="1" s="1"/>
  <c r="U66" i="1"/>
  <c r="U51" i="1"/>
  <c r="U49" i="1"/>
  <c r="X57" i="1"/>
  <c r="W57" i="1" s="1"/>
  <c r="U59" i="1"/>
  <c r="U46" i="1"/>
  <c r="BA70" i="1" l="1"/>
  <c r="BA66" i="1"/>
  <c r="BA65" i="1"/>
  <c r="BA64" i="1"/>
  <c r="BA62" i="1"/>
  <c r="BA46" i="1"/>
  <c r="BA44" i="1"/>
  <c r="BA43" i="1"/>
  <c r="BA42" i="1"/>
  <c r="BA41" i="1"/>
  <c r="BA40" i="1"/>
  <c r="BA39" i="1"/>
  <c r="BB29" i="1"/>
  <c r="BB28" i="1"/>
  <c r="BB27" i="1"/>
  <c r="BB26" i="1"/>
  <c r="BB25" i="1"/>
  <c r="BB24" i="1"/>
  <c r="AY70" i="1"/>
  <c r="AY66" i="1"/>
  <c r="AY65" i="1"/>
  <c r="AY64" i="1"/>
  <c r="AY62" i="1"/>
  <c r="AY46" i="1"/>
  <c r="AY44" i="1"/>
  <c r="AY43" i="1"/>
  <c r="AY42" i="1"/>
  <c r="AY41" i="1"/>
  <c r="AY40" i="1"/>
  <c r="AY39" i="1"/>
  <c r="AZ31" i="1"/>
  <c r="AZ29" i="1"/>
  <c r="AZ28" i="1"/>
  <c r="AZ27" i="1"/>
  <c r="AZ26" i="1"/>
  <c r="AZ25" i="1"/>
  <c r="AZ24" i="1"/>
  <c r="AZ21" i="1"/>
  <c r="AZ20" i="1"/>
  <c r="AZ19" i="1"/>
  <c r="AZ16" i="1"/>
  <c r="AZ14" i="1"/>
  <c r="AZ13" i="1"/>
  <c r="AZ12" i="1"/>
  <c r="AZ11" i="1"/>
  <c r="AU40" i="1"/>
  <c r="AU41" i="1"/>
  <c r="AU42" i="1"/>
  <c r="AU43" i="1"/>
  <c r="AU44" i="1"/>
  <c r="AU46" i="1"/>
  <c r="AU62" i="1"/>
  <c r="AU64" i="1"/>
  <c r="AU65" i="1"/>
  <c r="AU66" i="1"/>
  <c r="AU67" i="1"/>
  <c r="AU68" i="1"/>
  <c r="AU69" i="1"/>
  <c r="AU70" i="1"/>
  <c r="AU71" i="1"/>
  <c r="AU39" i="1"/>
  <c r="AV12" i="1"/>
  <c r="AV14" i="1"/>
  <c r="AV16" i="1"/>
  <c r="AV19" i="1"/>
  <c r="AV20" i="1"/>
  <c r="AV21" i="1"/>
  <c r="AV24" i="1"/>
  <c r="AV25" i="1"/>
  <c r="AV26" i="1"/>
  <c r="AV27" i="1"/>
  <c r="AV28" i="1"/>
  <c r="AV29" i="1"/>
  <c r="AQ40" i="1"/>
  <c r="AS40" i="1" s="1"/>
  <c r="AQ41" i="1"/>
  <c r="AS41" i="1" s="1"/>
  <c r="AQ42" i="1"/>
  <c r="AS42" i="1" s="1"/>
  <c r="AQ43" i="1"/>
  <c r="AS43" i="1" s="1"/>
  <c r="AQ44" i="1"/>
  <c r="AS44" i="1" s="1"/>
  <c r="AQ46" i="1"/>
  <c r="AT46" i="1" s="1"/>
  <c r="AQ47" i="1"/>
  <c r="AT47" i="1" s="1"/>
  <c r="AQ48" i="1"/>
  <c r="AS48" i="1" s="1"/>
  <c r="AQ49" i="1"/>
  <c r="AS49" i="1" s="1"/>
  <c r="AQ50" i="1"/>
  <c r="AT50" i="1" s="1"/>
  <c r="AQ51" i="1"/>
  <c r="AS51" i="1" s="1"/>
  <c r="AQ52" i="1"/>
  <c r="AT52" i="1" s="1"/>
  <c r="AQ53" i="1"/>
  <c r="AS53" i="1" s="1"/>
  <c r="AQ54" i="1"/>
  <c r="AT54" i="1" s="1"/>
  <c r="AQ55" i="1"/>
  <c r="AT55" i="1" s="1"/>
  <c r="AQ56" i="1"/>
  <c r="AT56" i="1" s="1"/>
  <c r="AQ57" i="1"/>
  <c r="AS57" i="1" s="1"/>
  <c r="AQ58" i="1"/>
  <c r="AT58" i="1" s="1"/>
  <c r="AQ59" i="1"/>
  <c r="AS59" i="1" s="1"/>
  <c r="AQ60" i="1"/>
  <c r="AT60" i="1" s="1"/>
  <c r="AQ62" i="1"/>
  <c r="AQ64" i="1"/>
  <c r="AT64" i="1" s="1"/>
  <c r="AQ65" i="1"/>
  <c r="AS65" i="1" s="1"/>
  <c r="AQ66" i="1"/>
  <c r="AT66" i="1" s="1"/>
  <c r="AQ67" i="1"/>
  <c r="AT67" i="1" s="1"/>
  <c r="AQ68" i="1"/>
  <c r="AS68" i="1" s="1"/>
  <c r="AQ69" i="1"/>
  <c r="AS69" i="1" s="1"/>
  <c r="AQ70" i="1"/>
  <c r="AT70" i="1" s="1"/>
  <c r="AQ71" i="1"/>
  <c r="AS71" i="1" s="1"/>
  <c r="AR12" i="1"/>
  <c r="AR13" i="1"/>
  <c r="AR14" i="1"/>
  <c r="AR16" i="1"/>
  <c r="AR24" i="1"/>
  <c r="AR25" i="1"/>
  <c r="AR26" i="1"/>
  <c r="AR27" i="1"/>
  <c r="AR28" i="1"/>
  <c r="AR29" i="1"/>
  <c r="AR31" i="1"/>
  <c r="AQ39" i="1"/>
  <c r="AT39" i="1" s="1"/>
  <c r="AS14" i="1"/>
  <c r="AT14" i="1"/>
  <c r="AS16" i="1"/>
  <c r="AT16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1" i="1"/>
  <c r="AT31" i="1"/>
  <c r="AS13" i="1"/>
  <c r="AS12" i="1"/>
  <c r="AT12" i="1"/>
  <c r="AT13" i="1"/>
  <c r="AT11" i="1"/>
  <c r="AS11" i="1"/>
  <c r="AR11" i="1"/>
  <c r="AN40" i="1"/>
  <c r="AP40" i="1" s="1"/>
  <c r="AN41" i="1"/>
  <c r="AP41" i="1" s="1"/>
  <c r="AN42" i="1"/>
  <c r="AP42" i="1" s="1"/>
  <c r="AN43" i="1"/>
  <c r="AP43" i="1" s="1"/>
  <c r="AN44" i="1"/>
  <c r="AP44" i="1" s="1"/>
  <c r="AN46" i="1"/>
  <c r="AP46" i="1" s="1"/>
  <c r="AN47" i="1"/>
  <c r="AP47" i="1" s="1"/>
  <c r="AN48" i="1"/>
  <c r="AP48" i="1" s="1"/>
  <c r="AN49" i="1"/>
  <c r="AP49" i="1" s="1"/>
  <c r="AN50" i="1"/>
  <c r="AP50" i="1" s="1"/>
  <c r="AN51" i="1"/>
  <c r="AP51" i="1" s="1"/>
  <c r="AN52" i="1"/>
  <c r="AP52" i="1" s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64" i="1"/>
  <c r="AP64" i="1" s="1"/>
  <c r="AN65" i="1"/>
  <c r="AP65" i="1" s="1"/>
  <c r="AN66" i="1"/>
  <c r="AP66" i="1" s="1"/>
  <c r="AN67" i="1"/>
  <c r="AP67" i="1" s="1"/>
  <c r="AN68" i="1"/>
  <c r="AP68" i="1" s="1"/>
  <c r="AN69" i="1"/>
  <c r="AP69" i="1" s="1"/>
  <c r="AN70" i="1"/>
  <c r="AP70" i="1" s="1"/>
  <c r="AN71" i="1"/>
  <c r="AP71" i="1" s="1"/>
  <c r="AN39" i="1"/>
  <c r="AP39" i="1" s="1"/>
  <c r="AP12" i="1"/>
  <c r="AP13" i="1"/>
  <c r="AP14" i="1"/>
  <c r="AP16" i="1"/>
  <c r="AP19" i="1"/>
  <c r="AP20" i="1"/>
  <c r="AP21" i="1"/>
  <c r="AP22" i="1"/>
  <c r="AP23" i="1"/>
  <c r="AP24" i="1"/>
  <c r="AP25" i="1"/>
  <c r="AP26" i="1"/>
  <c r="AP27" i="1"/>
  <c r="AP28" i="1"/>
  <c r="AP29" i="1"/>
  <c r="AP31" i="1"/>
  <c r="AP11" i="1"/>
  <c r="AF25" i="1"/>
  <c r="AF26" i="1"/>
  <c r="AF27" i="1"/>
  <c r="AF28" i="1"/>
  <c r="AF29" i="1"/>
  <c r="AF31" i="1"/>
  <c r="AF24" i="1"/>
  <c r="AF12" i="1"/>
  <c r="AF13" i="1"/>
  <c r="AF14" i="1"/>
  <c r="AF16" i="1"/>
  <c r="AF11" i="1"/>
  <c r="Z31" i="1"/>
  <c r="AA31" i="1" s="1"/>
  <c r="V12" i="1"/>
  <c r="V13" i="1"/>
  <c r="V14" i="1"/>
  <c r="V16" i="1"/>
  <c r="V19" i="1"/>
  <c r="V20" i="1"/>
  <c r="V21" i="1"/>
  <c r="V24" i="1"/>
  <c r="V25" i="1"/>
  <c r="V26" i="1"/>
  <c r="V27" i="1"/>
  <c r="V28" i="1"/>
  <c r="V29" i="1"/>
  <c r="V31" i="1"/>
  <c r="V11" i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T63" i="1" s="1"/>
  <c r="Q64" i="1"/>
  <c r="S64" i="1" s="1"/>
  <c r="Q65" i="1"/>
  <c r="S65" i="1" s="1"/>
  <c r="Q66" i="1"/>
  <c r="S66" i="1" s="1"/>
  <c r="Q67" i="1"/>
  <c r="T67" i="1" s="1"/>
  <c r="Q68" i="1"/>
  <c r="S68" i="1" s="1"/>
  <c r="Q69" i="1"/>
  <c r="S69" i="1" s="1"/>
  <c r="Q70" i="1"/>
  <c r="S70" i="1" s="1"/>
  <c r="Q71" i="1"/>
  <c r="S71" i="1" s="1"/>
  <c r="Q40" i="1"/>
  <c r="T40" i="1" s="1"/>
  <c r="Q41" i="1"/>
  <c r="S41" i="1" s="1"/>
  <c r="Q42" i="1"/>
  <c r="T42" i="1" s="1"/>
  <c r="Q43" i="1"/>
  <c r="S43" i="1" s="1"/>
  <c r="Q44" i="1"/>
  <c r="S44" i="1" s="1"/>
  <c r="Q46" i="1"/>
  <c r="S46" i="1" s="1"/>
  <c r="Q47" i="1"/>
  <c r="S47" i="1" s="1"/>
  <c r="Q48" i="1"/>
  <c r="T48" i="1" s="1"/>
  <c r="Q49" i="1"/>
  <c r="T49" i="1" s="1"/>
  <c r="Q39" i="1"/>
  <c r="S39" i="1" s="1"/>
  <c r="S14" i="1"/>
  <c r="T14" i="1"/>
  <c r="S16" i="1"/>
  <c r="T16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1" i="1"/>
  <c r="T31" i="1"/>
  <c r="S12" i="1"/>
  <c r="T12" i="1"/>
  <c r="S13" i="1"/>
  <c r="T13" i="1"/>
  <c r="T11" i="1"/>
  <c r="S11" i="1"/>
  <c r="R12" i="1"/>
  <c r="R19" i="1" s="1"/>
  <c r="R20" i="1" s="1"/>
  <c r="R21" i="1" s="1"/>
  <c r="R13" i="1"/>
  <c r="R14" i="1"/>
  <c r="R16" i="1"/>
  <c r="R24" i="1"/>
  <c r="R25" i="1"/>
  <c r="R26" i="1"/>
  <c r="R27" i="1"/>
  <c r="R28" i="1"/>
  <c r="R29" i="1"/>
  <c r="R31" i="1"/>
  <c r="R11" i="1"/>
  <c r="E84" i="1"/>
  <c r="D84" i="1" s="1"/>
  <c r="E83" i="1"/>
  <c r="D83" i="1" s="1"/>
  <c r="E80" i="1"/>
  <c r="D80" i="1" s="1"/>
  <c r="E82" i="1"/>
  <c r="D82" i="1" s="1"/>
  <c r="E81" i="1"/>
  <c r="D81" i="1" s="1"/>
  <c r="E79" i="1"/>
  <c r="D79" i="1" s="1"/>
  <c r="E78" i="1"/>
  <c r="D78" i="1" s="1"/>
  <c r="E77" i="1"/>
  <c r="D77" i="1" s="1"/>
  <c r="E76" i="1"/>
  <c r="D76" i="1" s="1"/>
  <c r="E75" i="1"/>
  <c r="D75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31" i="1"/>
  <c r="E29" i="1"/>
  <c r="E28" i="1"/>
  <c r="E27" i="1"/>
  <c r="E26" i="1"/>
  <c r="E25" i="1"/>
  <c r="E24" i="1"/>
  <c r="E12" i="1"/>
  <c r="E13" i="1"/>
  <c r="E14" i="1"/>
  <c r="E16" i="1"/>
  <c r="E19" i="1"/>
  <c r="E20" i="1"/>
  <c r="E21" i="1"/>
  <c r="E11" i="1"/>
  <c r="E66" i="1"/>
  <c r="E67" i="1"/>
  <c r="E68" i="1"/>
  <c r="E69" i="1"/>
  <c r="E70" i="1"/>
  <c r="E71" i="1"/>
  <c r="E65" i="1"/>
  <c r="Y71" i="1"/>
  <c r="Y70" i="1"/>
  <c r="Y69" i="1"/>
  <c r="Y68" i="1"/>
  <c r="Y67" i="1"/>
  <c r="Y66" i="1"/>
  <c r="Y65" i="1"/>
  <c r="Y63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4" i="1"/>
  <c r="Y43" i="1"/>
  <c r="Y42" i="1"/>
  <c r="Y41" i="1"/>
  <c r="Y40" i="1"/>
  <c r="Y39" i="1"/>
  <c r="Y23" i="1"/>
  <c r="Y22" i="1"/>
  <c r="AR20" i="1" l="1"/>
  <c r="AQ20" i="1" s="1"/>
  <c r="AR21" i="1"/>
  <c r="AQ21" i="1" s="1"/>
  <c r="AR18" i="1"/>
  <c r="AQ18" i="1" s="1"/>
  <c r="AR19" i="1"/>
  <c r="AQ19" i="1" s="1"/>
  <c r="AS56" i="1"/>
  <c r="AS52" i="1"/>
  <c r="AT48" i="1"/>
  <c r="AS60" i="1"/>
  <c r="AT43" i="1"/>
  <c r="AS64" i="1"/>
  <c r="AT42" i="1"/>
  <c r="AS47" i="1"/>
  <c r="AT68" i="1"/>
  <c r="T43" i="1"/>
  <c r="AS50" i="1"/>
  <c r="T64" i="1"/>
  <c r="S40" i="1"/>
  <c r="AT62" i="1"/>
  <c r="AS58" i="1"/>
  <c r="AT41" i="1"/>
  <c r="AS54" i="1"/>
  <c r="T56" i="1"/>
  <c r="Y31" i="1"/>
  <c r="T62" i="1"/>
  <c r="S42" i="1"/>
  <c r="AS70" i="1"/>
  <c r="AV11" i="1"/>
  <c r="AV13" i="1"/>
  <c r="AV31" i="1"/>
  <c r="T61" i="1"/>
  <c r="T55" i="1"/>
  <c r="T59" i="1"/>
  <c r="T41" i="1"/>
  <c r="T53" i="1"/>
  <c r="T57" i="1"/>
  <c r="AS55" i="1"/>
  <c r="AS67" i="1"/>
  <c r="AT59" i="1"/>
  <c r="AT51" i="1"/>
  <c r="T52" i="1"/>
  <c r="T51" i="1"/>
  <c r="S49" i="1"/>
  <c r="T60" i="1"/>
  <c r="S48" i="1"/>
  <c r="AT71" i="1"/>
  <c r="AS66" i="1"/>
  <c r="AS46" i="1"/>
  <c r="AS39" i="1"/>
  <c r="T70" i="1"/>
  <c r="T71" i="1"/>
  <c r="T69" i="1"/>
  <c r="T68" i="1"/>
  <c r="S67" i="1"/>
  <c r="T66" i="1"/>
  <c r="T65" i="1"/>
  <c r="S63" i="1"/>
  <c r="T54" i="1"/>
  <c r="T58" i="1"/>
  <c r="T50" i="1"/>
  <c r="AT69" i="1"/>
  <c r="AT65" i="1"/>
  <c r="AT57" i="1"/>
  <c r="AT53" i="1"/>
  <c r="AT49" i="1"/>
  <c r="AT44" i="1"/>
  <c r="AT40" i="1"/>
  <c r="T46" i="1"/>
  <c r="T47" i="1"/>
  <c r="T44" i="1"/>
  <c r="T39" i="1"/>
  <c r="AB31" i="1"/>
  <c r="AC31" i="1" s="1"/>
  <c r="AD31" i="1" s="1"/>
  <c r="H47" i="1"/>
  <c r="H44" i="1"/>
  <c r="H43" i="1"/>
  <c r="H42" i="1"/>
  <c r="H41" i="1"/>
  <c r="H40" i="1"/>
  <c r="H39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6" i="1"/>
  <c r="M13" i="1"/>
  <c r="M14" i="1"/>
  <c r="N16" i="1"/>
  <c r="M19" i="1"/>
  <c r="M20" i="1"/>
  <c r="M21" i="1"/>
  <c r="N22" i="1"/>
  <c r="N25" i="1"/>
  <c r="N26" i="1"/>
  <c r="J27" i="1"/>
  <c r="J28" i="1"/>
  <c r="M29" i="1"/>
  <c r="N31" i="1"/>
  <c r="I11" i="1"/>
  <c r="J40" i="1"/>
  <c r="M40" i="1"/>
  <c r="N40" i="1"/>
  <c r="O40" i="1"/>
  <c r="P40" i="1"/>
  <c r="J41" i="1"/>
  <c r="M41" i="1"/>
  <c r="N41" i="1"/>
  <c r="O41" i="1"/>
  <c r="P41" i="1"/>
  <c r="J42" i="1"/>
  <c r="M42" i="1"/>
  <c r="N42" i="1"/>
  <c r="O42" i="1"/>
  <c r="P42" i="1"/>
  <c r="J43" i="1"/>
  <c r="M43" i="1"/>
  <c r="N43" i="1"/>
  <c r="O43" i="1"/>
  <c r="P43" i="1"/>
  <c r="J44" i="1"/>
  <c r="M44" i="1"/>
  <c r="N44" i="1"/>
  <c r="O44" i="1"/>
  <c r="P44" i="1"/>
  <c r="J46" i="1"/>
  <c r="M46" i="1"/>
  <c r="N46" i="1"/>
  <c r="O46" i="1"/>
  <c r="P46" i="1"/>
  <c r="J47" i="1"/>
  <c r="M47" i="1"/>
  <c r="N47" i="1"/>
  <c r="O47" i="1"/>
  <c r="P47" i="1"/>
  <c r="J48" i="1"/>
  <c r="M48" i="1"/>
  <c r="N48" i="1"/>
  <c r="O48" i="1"/>
  <c r="P48" i="1"/>
  <c r="J49" i="1"/>
  <c r="M49" i="1"/>
  <c r="N49" i="1"/>
  <c r="O49" i="1"/>
  <c r="P49" i="1"/>
  <c r="J50" i="1"/>
  <c r="M50" i="1"/>
  <c r="N50" i="1"/>
  <c r="O50" i="1"/>
  <c r="P50" i="1"/>
  <c r="J51" i="1"/>
  <c r="M51" i="1"/>
  <c r="N51" i="1"/>
  <c r="O51" i="1"/>
  <c r="P51" i="1"/>
  <c r="J52" i="1"/>
  <c r="M52" i="1"/>
  <c r="N52" i="1"/>
  <c r="O52" i="1"/>
  <c r="P52" i="1"/>
  <c r="J53" i="1"/>
  <c r="M53" i="1"/>
  <c r="N53" i="1"/>
  <c r="O53" i="1"/>
  <c r="P53" i="1"/>
  <c r="J54" i="1"/>
  <c r="M54" i="1"/>
  <c r="N54" i="1"/>
  <c r="O54" i="1"/>
  <c r="P54" i="1"/>
  <c r="J55" i="1"/>
  <c r="M55" i="1"/>
  <c r="N55" i="1"/>
  <c r="O55" i="1"/>
  <c r="P55" i="1"/>
  <c r="J56" i="1"/>
  <c r="M56" i="1"/>
  <c r="N56" i="1"/>
  <c r="O56" i="1"/>
  <c r="P56" i="1"/>
  <c r="J57" i="1"/>
  <c r="M57" i="1"/>
  <c r="N57" i="1"/>
  <c r="O57" i="1"/>
  <c r="P57" i="1"/>
  <c r="J58" i="1"/>
  <c r="M58" i="1"/>
  <c r="N58" i="1"/>
  <c r="O58" i="1"/>
  <c r="P58" i="1"/>
  <c r="J59" i="1"/>
  <c r="M59" i="1"/>
  <c r="N59" i="1"/>
  <c r="O59" i="1"/>
  <c r="P59" i="1"/>
  <c r="J60" i="1"/>
  <c r="M60" i="1"/>
  <c r="N60" i="1"/>
  <c r="O60" i="1"/>
  <c r="P60" i="1"/>
  <c r="J61" i="1"/>
  <c r="M61" i="1"/>
  <c r="N61" i="1"/>
  <c r="O61" i="1"/>
  <c r="P61" i="1"/>
  <c r="J62" i="1"/>
  <c r="M62" i="1"/>
  <c r="N62" i="1"/>
  <c r="O62" i="1"/>
  <c r="P62" i="1"/>
  <c r="J63" i="1"/>
  <c r="M63" i="1"/>
  <c r="N63" i="1"/>
  <c r="O63" i="1"/>
  <c r="P63" i="1"/>
  <c r="J64" i="1"/>
  <c r="M64" i="1"/>
  <c r="N64" i="1"/>
  <c r="O64" i="1"/>
  <c r="P64" i="1"/>
  <c r="J65" i="1"/>
  <c r="M65" i="1"/>
  <c r="N65" i="1"/>
  <c r="O65" i="1"/>
  <c r="P65" i="1"/>
  <c r="J66" i="1"/>
  <c r="M66" i="1"/>
  <c r="N66" i="1"/>
  <c r="O66" i="1"/>
  <c r="P66" i="1"/>
  <c r="J67" i="1"/>
  <c r="M67" i="1"/>
  <c r="N67" i="1"/>
  <c r="O67" i="1"/>
  <c r="P67" i="1"/>
  <c r="J68" i="1"/>
  <c r="M68" i="1"/>
  <c r="N68" i="1"/>
  <c r="O68" i="1"/>
  <c r="P68" i="1"/>
  <c r="J69" i="1"/>
  <c r="M69" i="1"/>
  <c r="N69" i="1"/>
  <c r="O69" i="1"/>
  <c r="P69" i="1"/>
  <c r="J70" i="1"/>
  <c r="M70" i="1"/>
  <c r="N70" i="1"/>
  <c r="O70" i="1"/>
  <c r="P70" i="1"/>
  <c r="J71" i="1"/>
  <c r="M71" i="1"/>
  <c r="N71" i="1"/>
  <c r="O71" i="1"/>
  <c r="P71" i="1"/>
  <c r="P39" i="1"/>
  <c r="O39" i="1"/>
  <c r="N39" i="1"/>
  <c r="M39" i="1"/>
  <c r="J39" i="1"/>
  <c r="J12" i="1"/>
  <c r="M12" i="1"/>
  <c r="N12" i="1"/>
  <c r="O12" i="1"/>
  <c r="P12" i="1"/>
  <c r="J13" i="1"/>
  <c r="J14" i="1"/>
  <c r="J19" i="1"/>
  <c r="N19" i="1"/>
  <c r="P19" i="1"/>
  <c r="N21" i="1"/>
  <c r="P21" i="1"/>
  <c r="M22" i="1"/>
  <c r="J23" i="1"/>
  <c r="M23" i="1"/>
  <c r="N23" i="1"/>
  <c r="O23" i="1"/>
  <c r="P23" i="1"/>
  <c r="J24" i="1"/>
  <c r="M24" i="1"/>
  <c r="N24" i="1"/>
  <c r="O24" i="1"/>
  <c r="P24" i="1"/>
  <c r="M26" i="1"/>
  <c r="N27" i="1"/>
  <c r="O27" i="1"/>
  <c r="AH44" i="1"/>
  <c r="AH43" i="1"/>
  <c r="AH42" i="1"/>
  <c r="AH41" i="1"/>
  <c r="AH40" i="1"/>
  <c r="AH39" i="1"/>
  <c r="O11" i="1" l="1"/>
  <c r="K11" i="1"/>
  <c r="L11" i="1"/>
  <c r="M28" i="1"/>
  <c r="O28" i="1"/>
  <c r="N14" i="1"/>
  <c r="M27" i="1"/>
  <c r="J21" i="1"/>
  <c r="M16" i="1"/>
  <c r="P27" i="1"/>
  <c r="P14" i="1"/>
  <c r="P29" i="1"/>
  <c r="J29" i="1"/>
  <c r="P20" i="1"/>
  <c r="M25" i="1"/>
  <c r="J20" i="1"/>
  <c r="P13" i="1"/>
  <c r="O29" i="1"/>
  <c r="P25" i="1"/>
  <c r="J25" i="1"/>
  <c r="O20" i="1"/>
  <c r="O13" i="1"/>
  <c r="N29" i="1"/>
  <c r="O25" i="1"/>
  <c r="N20" i="1"/>
  <c r="N13" i="1"/>
  <c r="M31" i="1"/>
  <c r="N28" i="1"/>
  <c r="P28" i="1"/>
  <c r="O21" i="1"/>
  <c r="O19" i="1"/>
  <c r="O14" i="1"/>
  <c r="P31" i="1"/>
  <c r="J31" i="1"/>
  <c r="P26" i="1"/>
  <c r="J26" i="1"/>
  <c r="P22" i="1"/>
  <c r="J22" i="1"/>
  <c r="P16" i="1"/>
  <c r="J16" i="1"/>
  <c r="O31" i="1"/>
  <c r="O26" i="1"/>
  <c r="O22" i="1"/>
  <c r="O16" i="1"/>
  <c r="J11" i="1"/>
  <c r="M11" i="1"/>
  <c r="N11" i="1"/>
  <c r="P11" i="1"/>
  <c r="D64" i="1"/>
  <c r="D62" i="1"/>
  <c r="AL47" i="1" l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5" i="1"/>
  <c r="AL66" i="1"/>
  <c r="AL67" i="1"/>
  <c r="AL68" i="1"/>
  <c r="AL69" i="1"/>
  <c r="AL70" i="1"/>
  <c r="AL71" i="1"/>
  <c r="AL46" i="1"/>
  <c r="AK12" i="1" l="1"/>
  <c r="AK13" i="1"/>
  <c r="AK14" i="1"/>
  <c r="AK16" i="1"/>
  <c r="AK19" i="1"/>
  <c r="AK20" i="1"/>
  <c r="AK21" i="1"/>
  <c r="AK24" i="1"/>
  <c r="AK25" i="1"/>
  <c r="AK26" i="1"/>
  <c r="AK27" i="1"/>
  <c r="AK28" i="1"/>
  <c r="AK29" i="1"/>
  <c r="AK31" i="1"/>
  <c r="AK11" i="1"/>
  <c r="AE47" i="1" l="1"/>
  <c r="AH47" i="1" s="1"/>
  <c r="AE48" i="1"/>
  <c r="AH48" i="1" s="1"/>
  <c r="AE49" i="1"/>
  <c r="AH49" i="1" s="1"/>
  <c r="AE50" i="1"/>
  <c r="AH50" i="1" s="1"/>
  <c r="AE51" i="1"/>
  <c r="AH51" i="1" s="1"/>
  <c r="AE52" i="1"/>
  <c r="AH52" i="1" s="1"/>
  <c r="AE53" i="1"/>
  <c r="AH53" i="1" s="1"/>
  <c r="AE54" i="1"/>
  <c r="AH54" i="1" s="1"/>
  <c r="AE55" i="1"/>
  <c r="AH55" i="1" s="1"/>
  <c r="AE56" i="1"/>
  <c r="AH56" i="1" s="1"/>
  <c r="AE57" i="1"/>
  <c r="AH57" i="1" s="1"/>
  <c r="AE58" i="1"/>
  <c r="AH58" i="1" s="1"/>
  <c r="AE59" i="1"/>
  <c r="AH59" i="1" s="1"/>
  <c r="AE60" i="1"/>
  <c r="AH60" i="1" s="1"/>
  <c r="AH61" i="1"/>
  <c r="AH63" i="1"/>
  <c r="AE65" i="1"/>
  <c r="AH65" i="1" s="1"/>
  <c r="AE66" i="1"/>
  <c r="AH66" i="1" s="1"/>
  <c r="AE67" i="1"/>
  <c r="AH67" i="1" s="1"/>
  <c r="AE68" i="1"/>
  <c r="AH68" i="1" s="1"/>
  <c r="AE69" i="1"/>
  <c r="AH69" i="1" s="1"/>
  <c r="AE70" i="1"/>
  <c r="AH70" i="1" s="1"/>
  <c r="AE71" i="1"/>
  <c r="AH71" i="1" s="1"/>
  <c r="AE46" i="1"/>
  <c r="AH46" i="1" s="1"/>
  <c r="AH12" i="1"/>
  <c r="AH13" i="1"/>
  <c r="AH14" i="1"/>
  <c r="AH16" i="1"/>
  <c r="AH22" i="1"/>
  <c r="AH23" i="1"/>
  <c r="AH24" i="1"/>
  <c r="AH25" i="1"/>
  <c r="AH26" i="1"/>
  <c r="AH27" i="1"/>
  <c r="AH28" i="1"/>
  <c r="AH29" i="1"/>
  <c r="AH31" i="1"/>
  <c r="AH11" i="1"/>
  <c r="AG29" i="1" l="1"/>
  <c r="AI29" i="1"/>
  <c r="AG27" i="1"/>
  <c r="AI27" i="1"/>
  <c r="AI28" i="1"/>
  <c r="AG28" i="1"/>
  <c r="AG26" i="1"/>
  <c r="AI26" i="1"/>
  <c r="AG25" i="1"/>
  <c r="AI25" i="1"/>
  <c r="AI24" i="1"/>
  <c r="AG24" i="1"/>
  <c r="AG23" i="1"/>
  <c r="AI23" i="1"/>
  <c r="AG31" i="1"/>
  <c r="AI31" i="1"/>
  <c r="AG22" i="1"/>
  <c r="AI22" i="1"/>
  <c r="AG40" i="1"/>
  <c r="AI40" i="1"/>
  <c r="AG41" i="1"/>
  <c r="AI41" i="1"/>
  <c r="AG42" i="1"/>
  <c r="AI42" i="1"/>
  <c r="AG43" i="1"/>
  <c r="AI43" i="1"/>
  <c r="AG44" i="1"/>
  <c r="AI44" i="1"/>
  <c r="AG46" i="1"/>
  <c r="AI46" i="1"/>
  <c r="AG47" i="1"/>
  <c r="AI47" i="1"/>
  <c r="AG48" i="1"/>
  <c r="AI48" i="1"/>
  <c r="AG49" i="1"/>
  <c r="AI49" i="1"/>
  <c r="AG50" i="1"/>
  <c r="AI50" i="1"/>
  <c r="AG51" i="1"/>
  <c r="AI51" i="1"/>
  <c r="AG52" i="1"/>
  <c r="AI52" i="1"/>
  <c r="AG53" i="1"/>
  <c r="AI53" i="1"/>
  <c r="AG54" i="1"/>
  <c r="AI54" i="1"/>
  <c r="AG55" i="1"/>
  <c r="AI55" i="1"/>
  <c r="AG56" i="1"/>
  <c r="AI56" i="1"/>
  <c r="AG57" i="1"/>
  <c r="AI57" i="1"/>
  <c r="AG58" i="1"/>
  <c r="AI58" i="1"/>
  <c r="AG59" i="1"/>
  <c r="AI59" i="1"/>
  <c r="AG60" i="1"/>
  <c r="AI60" i="1"/>
  <c r="AI61" i="1"/>
  <c r="AI63" i="1"/>
  <c r="AG65" i="1"/>
  <c r="AI65" i="1"/>
  <c r="AG66" i="1"/>
  <c r="AI66" i="1"/>
  <c r="AG67" i="1"/>
  <c r="AI67" i="1"/>
  <c r="AG68" i="1"/>
  <c r="AI68" i="1"/>
  <c r="AG69" i="1"/>
  <c r="AI69" i="1"/>
  <c r="AG70" i="1"/>
  <c r="AI70" i="1"/>
  <c r="AG71" i="1"/>
  <c r="AI71" i="1"/>
  <c r="AI39" i="1"/>
  <c r="AG39" i="1"/>
  <c r="AG12" i="1"/>
  <c r="AI12" i="1"/>
  <c r="AG13" i="1"/>
  <c r="AI13" i="1"/>
  <c r="AG14" i="1"/>
  <c r="AI14" i="1"/>
  <c r="AG16" i="1"/>
  <c r="AI16" i="1"/>
  <c r="AI11" i="1"/>
  <c r="AG11" i="1"/>
  <c r="AC22" i="1"/>
  <c r="AD22" i="1"/>
  <c r="AC23" i="1"/>
  <c r="AD23" i="1"/>
  <c r="D66" i="1"/>
  <c r="D67" i="1"/>
  <c r="D68" i="1"/>
  <c r="D69" i="1"/>
  <c r="D70" i="1"/>
  <c r="D71" i="1"/>
  <c r="D65" i="1"/>
  <c r="X12" i="1"/>
  <c r="X13" i="1"/>
  <c r="X14" i="1"/>
  <c r="X16" i="1"/>
  <c r="X27" i="1"/>
  <c r="X28" i="1"/>
  <c r="X29" i="1"/>
  <c r="X19" i="1"/>
  <c r="X20" i="1"/>
  <c r="X21" i="1"/>
  <c r="X24" i="1"/>
  <c r="X25" i="1"/>
  <c r="X26" i="1"/>
  <c r="X31" i="1"/>
  <c r="X11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Z61" i="1"/>
  <c r="AA61" i="1"/>
  <c r="AB61" i="1"/>
  <c r="AC61" i="1"/>
  <c r="AD61" i="1"/>
  <c r="Z63" i="1"/>
  <c r="AA63" i="1"/>
  <c r="AB63" i="1"/>
  <c r="AC63" i="1"/>
  <c r="AD63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Z68" i="1"/>
  <c r="AA68" i="1"/>
  <c r="AB68" i="1"/>
  <c r="AC68" i="1"/>
  <c r="AD68" i="1"/>
  <c r="Z69" i="1"/>
  <c r="AA69" i="1"/>
  <c r="AB69" i="1"/>
  <c r="AC69" i="1"/>
  <c r="AD69" i="1"/>
  <c r="Z70" i="1"/>
  <c r="AA70" i="1"/>
  <c r="AB70" i="1"/>
  <c r="AC70" i="1"/>
  <c r="AD70" i="1"/>
  <c r="Z71" i="1"/>
  <c r="AA71" i="1"/>
  <c r="AB71" i="1"/>
  <c r="AC71" i="1"/>
  <c r="AD71" i="1"/>
  <c r="AD39" i="1"/>
  <c r="AC39" i="1"/>
  <c r="AB39" i="1"/>
  <c r="AA39" i="1"/>
  <c r="Z39" i="1"/>
  <c r="AA22" i="1"/>
  <c r="AB22" i="1"/>
  <c r="AA23" i="1"/>
  <c r="AB23" i="1"/>
  <c r="Z22" i="1"/>
  <c r="Z23" i="1"/>
  <c r="D12" i="1"/>
  <c r="D13" i="1"/>
  <c r="D14" i="1"/>
  <c r="D16" i="1"/>
  <c r="D27" i="1"/>
  <c r="D28" i="1"/>
  <c r="D29" i="1"/>
  <c r="D19" i="1"/>
  <c r="D20" i="1"/>
  <c r="D21" i="1"/>
  <c r="D22" i="1"/>
  <c r="D23" i="1"/>
  <c r="D24" i="1"/>
  <c r="D25" i="1"/>
  <c r="D26" i="1"/>
  <c r="D31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1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5" i="1"/>
  <c r="AJ66" i="1"/>
  <c r="AJ67" i="1"/>
  <c r="AJ68" i="1"/>
  <c r="AJ69" i="1"/>
  <c r="AJ70" i="1"/>
  <c r="AJ71" i="1"/>
  <c r="AJ46" i="1"/>
  <c r="AB11" i="1" l="1"/>
  <c r="Y11" i="1"/>
  <c r="AD24" i="1"/>
  <c r="Y24" i="1"/>
  <c r="AA29" i="1"/>
  <c r="Y29" i="1"/>
  <c r="AA14" i="1"/>
  <c r="Y14" i="1"/>
  <c r="AC21" i="1"/>
  <c r="Y21" i="1"/>
  <c r="AB28" i="1"/>
  <c r="Y28" i="1"/>
  <c r="AB13" i="1"/>
  <c r="Y13" i="1"/>
  <c r="AC26" i="1"/>
  <c r="Y26" i="1"/>
  <c r="AA20" i="1"/>
  <c r="Y20" i="1"/>
  <c r="AC27" i="1"/>
  <c r="Y27" i="1"/>
  <c r="AB12" i="1"/>
  <c r="Y12" i="1"/>
  <c r="AB25" i="1"/>
  <c r="Y25" i="1"/>
  <c r="AC19" i="1"/>
  <c r="Y19" i="1"/>
  <c r="AD16" i="1"/>
  <c r="Y16" i="1"/>
  <c r="AD13" i="1"/>
  <c r="AD20" i="1"/>
  <c r="AC28" i="1"/>
  <c r="AD11" i="1"/>
  <c r="AC11" i="1"/>
  <c r="Z11" i="1"/>
  <c r="AC29" i="1"/>
  <c r="AA11" i="1"/>
  <c r="Z13" i="1"/>
  <c r="AD29" i="1"/>
  <c r="AD21" i="1"/>
  <c r="Z21" i="1"/>
  <c r="AA21" i="1"/>
  <c r="Z16" i="1"/>
  <c r="AA16" i="1"/>
  <c r="AB16" i="1"/>
  <c r="Z14" i="1"/>
  <c r="AC14" i="1"/>
  <c r="AD14" i="1"/>
  <c r="AB14" i="1"/>
  <c r="AA13" i="1"/>
  <c r="Z12" i="1"/>
  <c r="AC12" i="1"/>
  <c r="AD28" i="1"/>
  <c r="Z25" i="1"/>
  <c r="Z26" i="1"/>
  <c r="AB29" i="1"/>
  <c r="AC20" i="1"/>
  <c r="AB26" i="1"/>
  <c r="AC16" i="1"/>
  <c r="AA28" i="1"/>
  <c r="AD26" i="1"/>
  <c r="AB21" i="1"/>
  <c r="AD12" i="1"/>
  <c r="AD27" i="1"/>
  <c r="AD19" i="1"/>
  <c r="AB24" i="1"/>
  <c r="AA19" i="1"/>
  <c r="AB27" i="1"/>
  <c r="AA12" i="1"/>
  <c r="AD25" i="1"/>
  <c r="Z19" i="1"/>
  <c r="AC24" i="1"/>
  <c r="AB19" i="1"/>
  <c r="Z24" i="1"/>
  <c r="AC25" i="1"/>
  <c r="AB20" i="1"/>
  <c r="AC13" i="1"/>
  <c r="AA27" i="1"/>
  <c r="AM61" i="1"/>
  <c r="AR63" i="1"/>
  <c r="BA20" i="1" l="1"/>
  <c r="AS18" i="1" l="1"/>
  <c r="AT18" i="1" l="1"/>
  <c r="AT19" i="1"/>
  <c r="AS19" i="1" l="1"/>
  <c r="AS20" i="1"/>
  <c r="AT20" i="1" l="1"/>
  <c r="AS21" i="1"/>
  <c r="AT21" i="1" l="1"/>
  <c r="Q19" i="1" l="1"/>
  <c r="T19" i="1" s="1"/>
  <c r="S19" i="1" l="1"/>
  <c r="Q20" i="1"/>
  <c r="T20" i="1" s="1"/>
  <c r="S20" i="1" l="1"/>
  <c r="Q18" i="1"/>
  <c r="S18" i="1" l="1"/>
  <c r="R18" i="1"/>
  <c r="T18" i="1"/>
  <c r="Q21" i="1"/>
  <c r="S21" i="1" s="1"/>
  <c r="T21" i="1" l="1"/>
  <c r="AE19" i="1" l="1"/>
  <c r="AI19" i="1" s="1"/>
  <c r="AH19" i="1" l="1"/>
  <c r="AG19" i="1"/>
  <c r="AE20" i="1"/>
  <c r="AI20" i="1" s="1"/>
  <c r="AG20" i="1" l="1"/>
  <c r="AE18" i="1"/>
  <c r="AH20" i="1"/>
  <c r="AG18" i="1" l="1"/>
  <c r="AI18" i="1"/>
  <c r="AH18" i="1"/>
  <c r="AF18" i="1"/>
  <c r="AE21" i="1"/>
  <c r="AG21" i="1" s="1"/>
  <c r="AH21" i="1" l="1"/>
  <c r="A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875EE34D-B323-4A2A-A47D-E2F67CFDCE19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<sst xmlns="http://schemas.openxmlformats.org/spreadsheetml/2006/main" count="359" uniqueCount="247">
  <si>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</si>
  <si>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</si>
  <si>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</si>
  <si>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</si>
  <si>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</si>
  <si>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</si>
  <si>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</si>
  <si>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</si>
  <si>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</si>
  <si>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</si>
  <si>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</si>
  <si>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</si>
  <si>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</si>
  <si>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</si>
  <si>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</si>
  <si>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</si>
  <si>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</si>
  <si>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</si>
  <si>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</si>
  <si>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</si>
  <si>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</si>
  <si>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</si>
  <si>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</si>
  <si>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</si>
  <si>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</si>
  <si>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</si>
  <si>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</si>
  <si>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</si>
  <si>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</si>
  <si>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</si>
  <si>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</si>
  <si>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</si>
  <si>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</si>
  <si>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</si>
  <si>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</si>
  <si>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</si>
  <si>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</si>
  <si>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</si>
  <si>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</si>
  <si>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</si>
  <si>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</si>
  <si>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</si>
  <si>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</si>
  <si>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</si>
  <si>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</si>
  <si>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</si>
  <si>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</si>
  <si>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</si>
  <si>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</si>
  <si>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</si>
  <si>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</si>
  <si>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</si>
  <si>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</si>
  <si>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</si>
  <si>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</si>
  <si>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</si>
  <si>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</si>
  <si>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</si>
  <si>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</si>
  <si>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</si>
  <si>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</si>
  <si>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</si>
  <si>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</si>
  <si>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</si>
  <si>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</si>
  <si>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</si>
  <si>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</si>
  <si>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</si>
  <si>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</si>
  <si>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</si>
  <si>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</si>
  <si>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</si>
  <si>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</si>
  <si>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</si>
  <si>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</si>
  <si>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</si>
  <si>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</si>
  <si>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</si>
  <si>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</si>
  <si>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</si>
  <si>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</si>
  <si>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</si>
  <si>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</si>
  <si>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</si>
  <si>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</si>
  <si>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</si>
  <si>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</si>
  <si>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</si>
  <si>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</si>
  <si>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</si>
  <si>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</si>
  <si>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</si>
  <si>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</si>
  <si>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</si>
  <si>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</si>
  <si>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</si>
  <si>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</si>
  <si>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</si>
  <si>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</si>
  <si>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</si>
  <si>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</si>
  <si>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</si>
  <si>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</si>
  <si>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</si>
  <si>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</si>
  <si>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</si>
  <si>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</si>
  <si>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</si>
  <si>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</si>
  <si>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</si>
  <si>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</si>
  <si>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</si>
  <si>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</si>
  <si>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</si>
  <si>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</si>
  <si>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</si>
  <si>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</si>
  <si>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</si>
  <si>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</si>
  <si>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</si>
  <si>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</si>
  <si>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</si>
  <si>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</si>
  <si>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</si>
  <si>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</si>
  <si>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</si>
  <si>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</si>
  <si>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</si>
  <si>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</si>
  <si>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</si>
  <si>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</si>
  <si>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</si>
  <si>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</si>
  <si>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</si>
  <si>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</si>
  <si>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</si>
  <si>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</si>
  <si>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</si>
  <si>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</si>
  <si>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</si>
  <si>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</si>
  <si>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</si>
  <si>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</si>
  <si>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</si>
  <si>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</si>
  <si>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</si>
  <si>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</si>
  <si>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</si>
  <si>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</si>
  <si>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</si>
  <si>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</si>
  <si>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</si>
  <si>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COMPARATIVE TARIFFS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</si>
  <si>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</si>
  <si>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</si>
  <si>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</si>
  <si>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</si>
  <si>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</si>
  <si>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</si>
  <si>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</si>
  <si>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</si>
  <si>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</si>
  <si>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</si>
  <si>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</si>
  <si>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</si>
  <si>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</si>
  <si>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</si>
  <si>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</si>
  <si>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</si>
  <si>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</si>
  <si>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</si>
  <si>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</si>
  <si>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</si>
  <si>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</si>
  <si>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</si>
  <si>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</si>
  <si>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</si>
  <si>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</si>
  <si>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</si>
  <si>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</si>
  <si>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</si>
  <si>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</si>
  <si>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</si>
  <si>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</si>
  <si>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</si>
  <si>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</si>
  <si>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</si>
  <si>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</si>
  <si>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</si>
  <si>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</si>
  <si>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</si>
  <si>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</si>
  <si>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</si>
  <si>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</si>
  <si>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</si>
  <si>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</si>
  <si>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</si>
  <si>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</si>
  <si>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</si>
  <si>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 </t>
  </si>
  <si>
    <t>NVD01/CS01</t>
  </si>
  <si>
    <t>NVD01/CS02</t>
  </si>
  <si>
    <t>NVD01/CS03</t>
  </si>
  <si>
    <t>Additional per maternity event</t>
  </si>
  <si>
    <t>Normal Vaginal Delivery for Keycare</t>
  </si>
  <si>
    <t>NDV01</t>
  </si>
  <si>
    <t>Completion and submission of the Prenatal Record</t>
  </si>
  <si>
    <t>Completion and submission of the Summary of Labour and Discharge</t>
  </si>
  <si>
    <t xml:space="preserve">10. The new and updated procedure codes were approved by the applicable Mangement Group, Society, SAPPF and SAMA in 2015.  We encourage practitioners to use it. </t>
  </si>
  <si>
    <t>0202</t>
  </si>
  <si>
    <t>Medicine, material and/or unregistered/unscheduled products used during treatment in treatment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</si>
  <si>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</si>
  <si>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</si>
  <si>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</si>
  <si>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</si>
  <si>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</si>
  <si>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</si>
  <si>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</si>
  <si>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</si>
  <si>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</si>
  <si>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</si>
  <si>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</si>
  <si>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</si>
  <si>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</si>
  <si>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</si>
  <si>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</si>
  <si>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</si>
  <si>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</si>
  <si>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</si>
  <si>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Network Base Rate</t>
  </si>
  <si>
    <t>Network
RCF</t>
  </si>
  <si>
    <t>Non-Contracted Base Rate</t>
  </si>
  <si>
    <t>CAMAF Base Rate</t>
  </si>
  <si>
    <t>CAMAF RCF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</si>
  <si>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</si>
  <si>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</si>
  <si>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</si>
  <si>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</si>
  <si>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</si>
  <si>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</si>
  <si>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</si>
  <si>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CAMAF</t>
  </si>
  <si>
    <t>HEALTHMAN GYNAECOLOGY COSTING GUIDE 2024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</si>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</sst>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3" borderId="4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24" fillId="2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164" fontId="25" fillId="2" borderId="20" xfId="1" applyFont="1" applyFill="1" applyBorder="1" applyProtection="1">
      <protection hidden="1"/>
    </xf>
    <xf numFmtId="165" fontId="25" fillId="0" borderId="20" xfId="1" applyNumberFormat="1" applyFont="1" applyFill="1" applyBorder="1" applyProtection="1">
      <protection hidden="1"/>
    </xf>
    <xf numFmtId="164" fontId="25" fillId="6" borderId="20" xfId="1" applyFont="1" applyFill="1" applyBorder="1" applyProtection="1"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Protection="1"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165" fontId="27" fillId="0" borderId="1" xfId="1" applyNumberFormat="1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Alignment="1" applyProtection="1">
      <alignment wrapText="1"/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165" fontId="28" fillId="8" borderId="1" xfId="1" applyNumberFormat="1" applyFont="1" applyFill="1" applyBorder="1" applyProtection="1">
      <protection hidden="1"/>
    </xf>
    <xf numFmtId="165" fontId="28" fillId="0" borderId="1" xfId="1" applyNumberFormat="1" applyFont="1" applyFill="1" applyBorder="1" applyProtection="1">
      <protection hidden="1"/>
    </xf>
    <xf numFmtId="165" fontId="27" fillId="0" borderId="0" xfId="1" applyNumberFormat="1" applyFont="1" applyFill="1" applyAlignment="1" applyProtection="1">
      <alignment horizontal="center"/>
      <protection hidden="1"/>
    </xf>
    <xf numFmtId="164" fontId="31" fillId="2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4" fontId="31" fillId="6" borderId="20" xfId="1" applyFont="1" applyFill="1" applyBorder="1" applyProtection="1"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165" fontId="28" fillId="9" borderId="1" xfId="1" applyNumberFormat="1" applyFont="1" applyFill="1" applyBorder="1" applyProtection="1"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27" fillId="9" borderId="0" xfId="0" applyFont="1" applyFill="1" applyAlignment="1" applyProtection="1">
      <alignment horizontal="center"/>
      <protection hidden="1"/>
    </xf>
    <xf numFmtId="165" fontId="27" fillId="9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7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8" fillId="8" borderId="1" xfId="1" applyNumberFormat="1" applyFont="1" applyFill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Protection="1">
      <protection hidden="1"/>
    </xf>
    <xf numFmtId="165" fontId="28" fillId="9" borderId="1" xfId="1" applyNumberFormat="1" applyFont="1" applyFill="1" applyBorder="1" applyAlignment="1" applyProtection="1">
      <alignment wrapText="1"/>
      <protection hidden="1"/>
    </xf>
    <xf numFmtId="165" fontId="27" fillId="9" borderId="0" xfId="1" applyNumberFormat="1" applyFont="1" applyFill="1" applyProtection="1">
      <protection hidden="1"/>
    </xf>
    <xf numFmtId="165" fontId="27" fillId="9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applyNumberFormat="1" applyFont="1" applyFill="1" applyProtection="1">
      <protection hidden="1"/>
    </xf>
    <xf numFmtId="165" fontId="27" fillId="0" borderId="0" xfId="1" applyNumberFormat="1" applyFont="1" applyFill="1" applyAlignment="1" applyProtection="1">
      <alignment horizontal="center" wrapText="1"/>
      <protection hidden="1"/>
    </xf>
    <xf numFmtId="49" fontId="25" fillId="2" borderId="9" xfId="0" applyNumberFormat="1" applyFont="1" applyFill="1" applyBorder="1" applyProtection="1"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164" fontId="25" fillId="0" borderId="20" xfId="1" applyFont="1" applyFill="1" applyBorder="1" applyProtection="1">
      <protection hidden="1"/>
    </xf>
    <xf numFmtId="165" fontId="25" fillId="2" borderId="20" xfId="1" applyNumberFormat="1" applyFont="1" applyFill="1" applyBorder="1" applyProtection="1">
      <protection hidden="1"/>
    </xf>
    <xf numFmtId="0" fontId="35" fillId="2" borderId="0" xfId="0" applyFont="1" applyFill="1" applyProtection="1">
      <protection hidden="1"/>
    </xf>
    <xf numFmtId="49" fontId="20" fillId="2" borderId="23" xfId="0" applyNumberFormat="1" applyFont="1" applyFill="1" applyBorder="1" applyProtection="1">
      <protection hidden="1"/>
    </xf>
    <xf numFmtId="0" fontId="20" fillId="2" borderId="24" xfId="0" applyFont="1" applyFill="1" applyBorder="1" applyAlignment="1" applyProtection="1">
      <alignment wrapText="1"/>
      <protection hidden="1"/>
    </xf>
    <xf numFmtId="164" fontId="20" fillId="2" borderId="25" xfId="1" applyFont="1" applyFill="1" applyBorder="1" applyProtection="1">
      <protection hidden="1"/>
    </xf>
    <xf numFmtId="165" fontId="20" fillId="0" borderId="25" xfId="1" applyNumberFormat="1" applyFont="1" applyFill="1" applyBorder="1" applyProtection="1">
      <protection hidden="1"/>
    </xf>
    <xf numFmtId="164" fontId="20" fillId="0" borderId="25" xfId="1" applyFont="1" applyFill="1" applyBorder="1" applyProtection="1">
      <protection hidden="1"/>
    </xf>
    <xf numFmtId="164" fontId="20" fillId="6" borderId="25" xfId="1" applyFont="1" applyFill="1" applyBorder="1" applyProtection="1">
      <protection hidden="1"/>
    </xf>
    <xf numFmtId="165" fontId="20" fillId="2" borderId="25" xfId="1" applyNumberFormat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4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30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3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25" fillId="2" borderId="17" xfId="0" applyFont="1" applyFill="1" applyBorder="1" applyAlignment="1" applyProtection="1">
      <alignment horizontal="left" wrapText="1"/>
      <protection hidden="1"/>
    </xf>
    <xf numFmtId="0" fontId="25" fillId="2" borderId="20" xfId="1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166" fontId="27" fillId="0" borderId="1" xfId="1" applyNumberFormat="1" applyFont="1" applyBorder="1" applyAlignment="1" applyProtection="1">
      <alignment horizontal="center"/>
      <protection hidden="1"/>
    </xf>
    <xf numFmtId="164" fontId="24" fillId="0" borderId="20" xfId="1" applyFont="1" applyFill="1" applyBorder="1" applyProtection="1">
      <protection hidden="1"/>
    </xf>
    <xf numFmtId="165" fontId="24" fillId="0" borderId="20" xfId="1" applyNumberFormat="1" applyFont="1" applyFill="1" applyBorder="1" applyProtection="1">
      <protection hidden="1"/>
    </xf>
    <xf numFmtId="0" fontId="37" fillId="2" borderId="2" xfId="0" applyFont="1" applyFill="1" applyBorder="1" applyProtection="1">
      <protection hidden="1"/>
    </xf>
    <xf numFmtId="0" fontId="38" fillId="0" borderId="0" xfId="0" applyFont="1"/>
    <xf numFmtId="0" fontId="39" fillId="2" borderId="0" xfId="0" applyFont="1" applyFill="1"/>
    <xf numFmtId="0" fontId="38" fillId="2" borderId="0" xfId="0" applyFont="1" applyFill="1" applyAlignment="1">
      <alignment vertical="center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vertical="center"/>
    </xf>
    <xf numFmtId="0" fontId="41" fillId="2" borderId="2" xfId="0" applyFont="1" applyFill="1" applyBorder="1" applyProtection="1">
      <protection hidden="1"/>
    </xf>
    <xf numFmtId="0" fontId="19" fillId="2" borderId="0" xfId="0" applyFont="1" applyFill="1" applyAlignment="1" applyProtection="1">
      <alignment wrapText="1"/>
      <protection hidden="1"/>
    </xf>
    <xf numFmtId="164" fontId="19" fillId="2" borderId="0" xfId="1" applyFont="1" applyFill="1" applyBorder="1" applyAlignment="1" applyProtection="1">
      <alignment wrapText="1"/>
      <protection hidden="1"/>
    </xf>
    <xf numFmtId="165" fontId="19" fillId="2" borderId="0" xfId="1" applyNumberFormat="1" applyFont="1" applyFill="1" applyBorder="1" applyAlignment="1" applyProtection="1">
      <alignment wrapText="1"/>
      <protection hidden="1"/>
    </xf>
    <xf numFmtId="165" fontId="19" fillId="2" borderId="6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Protection="1">
      <protection hidden="1"/>
    </xf>
    <xf numFmtId="0" fontId="42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3" fillId="11" borderId="2" xfId="0" applyNumberFormat="1" applyFont="1" applyFill="1" applyBorder="1" applyProtection="1">
      <protection hidden="1"/>
    </xf>
    <xf numFmtId="0" fontId="44" fillId="11" borderId="0" xfId="0" applyFont="1" applyFill="1" applyProtection="1">
      <protection hidden="1"/>
    </xf>
    <xf numFmtId="165" fontId="44" fillId="11" borderId="0" xfId="1" applyNumberFormat="1" applyFont="1" applyFill="1" applyBorder="1" applyProtection="1">
      <protection hidden="1"/>
    </xf>
    <xf numFmtId="164" fontId="44" fillId="11" borderId="0" xfId="1" applyFont="1" applyFill="1" applyBorder="1" applyProtection="1">
      <protection hidden="1"/>
    </xf>
    <xf numFmtId="165" fontId="43" fillId="11" borderId="0" xfId="1" applyNumberFormat="1" applyFont="1" applyFill="1" applyBorder="1" applyProtection="1">
      <protection hidden="1"/>
    </xf>
    <xf numFmtId="167" fontId="44" fillId="11" borderId="0" xfId="0" applyNumberFormat="1" applyFont="1" applyFill="1" applyProtection="1">
      <protection hidden="1"/>
    </xf>
    <xf numFmtId="165" fontId="44" fillId="11" borderId="0" xfId="0" applyNumberFormat="1" applyFont="1" applyFill="1" applyProtection="1">
      <protection hidden="1"/>
    </xf>
    <xf numFmtId="164" fontId="43" fillId="11" borderId="0" xfId="1" applyFont="1" applyFill="1" applyBorder="1" applyProtection="1">
      <protection hidden="1"/>
    </xf>
    <xf numFmtId="165" fontId="43" fillId="11" borderId="6" xfId="1" applyNumberFormat="1" applyFont="1" applyFill="1" applyBorder="1" applyProtection="1">
      <protection hidden="1"/>
    </xf>
    <xf numFmtId="166" fontId="27" fillId="8" borderId="1" xfId="1" applyNumberFormat="1" applyFont="1" applyFill="1" applyBorder="1" applyAlignment="1" applyProtection="1">
      <alignment horizontal="center"/>
      <protection hidden="1"/>
    </xf>
    <xf numFmtId="166" fontId="27" fillId="0" borderId="1" xfId="1" applyNumberFormat="1" applyFont="1" applyFill="1" applyBorder="1" applyAlignment="1" applyProtection="1">
      <alignment horizontal="center"/>
      <protection hidden="1"/>
    </xf>
    <xf numFmtId="164" fontId="6" fillId="0" borderId="25" xfId="1" applyFont="1" applyFill="1" applyBorder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5" fillId="10" borderId="11" xfId="0" applyFont="1" applyFill="1" applyBorder="1" applyProtection="1">
      <protection hidden="1"/>
    </xf>
    <xf numFmtId="0" fontId="44" fillId="10" borderId="12" xfId="0" applyFont="1" applyFill="1" applyBorder="1" applyAlignment="1" applyProtection="1">
      <alignment wrapText="1"/>
      <protection hidden="1"/>
    </xf>
    <xf numFmtId="0" fontId="44" fillId="10" borderId="12" xfId="1" applyNumberFormat="1" applyFont="1" applyFill="1" applyBorder="1" applyAlignment="1" applyProtection="1">
      <alignment wrapText="1"/>
      <protection hidden="1"/>
    </xf>
    <xf numFmtId="164" fontId="44" fillId="10" borderId="12" xfId="1" applyFont="1" applyFill="1" applyBorder="1" applyAlignment="1" applyProtection="1">
      <alignment wrapText="1"/>
      <protection hidden="1"/>
    </xf>
    <xf numFmtId="165" fontId="44" fillId="10" borderId="12" xfId="1" applyNumberFormat="1" applyFont="1" applyFill="1" applyBorder="1" applyAlignment="1" applyProtection="1">
      <alignment wrapText="1"/>
      <protection hidden="1"/>
    </xf>
    <xf numFmtId="165" fontId="44" fillId="10" borderId="13" xfId="1" applyNumberFormat="1" applyFont="1" applyFill="1" applyBorder="1" applyAlignment="1" applyProtection="1">
      <alignment wrapText="1"/>
      <protection hidden="1"/>
    </xf>
    <xf numFmtId="0" fontId="46" fillId="10" borderId="2" xfId="0" applyFont="1" applyFill="1" applyBorder="1" applyProtection="1">
      <protection hidden="1"/>
    </xf>
    <xf numFmtId="0" fontId="46" fillId="10" borderId="0" xfId="0" applyFont="1" applyFill="1" applyAlignment="1" applyProtection="1">
      <alignment wrapText="1"/>
      <protection hidden="1"/>
    </xf>
    <xf numFmtId="164" fontId="46" fillId="10" borderId="0" xfId="1" applyFont="1" applyFill="1" applyBorder="1" applyAlignment="1" applyProtection="1">
      <alignment wrapText="1"/>
      <protection hidden="1"/>
    </xf>
    <xf numFmtId="164" fontId="46" fillId="10" borderId="0" xfId="0" applyNumberFormat="1" applyFont="1" applyFill="1" applyAlignment="1" applyProtection="1">
      <alignment wrapText="1"/>
      <protection hidden="1"/>
    </xf>
    <xf numFmtId="164" fontId="46" fillId="10" borderId="0" xfId="1" applyFont="1" applyFill="1" applyAlignment="1" applyProtection="1">
      <alignment wrapText="1"/>
      <protection hidden="1"/>
    </xf>
    <xf numFmtId="165" fontId="46" fillId="10" borderId="0" xfId="1" applyNumberFormat="1" applyFont="1" applyFill="1" applyBorder="1" applyAlignment="1" applyProtection="1">
      <alignment wrapText="1"/>
      <protection hidden="1"/>
    </xf>
    <xf numFmtId="0" fontId="46" fillId="10" borderId="6" xfId="0" applyFont="1" applyFill="1" applyBorder="1" applyAlignment="1" applyProtection="1">
      <alignment wrapText="1"/>
      <protection hidden="1"/>
    </xf>
    <xf numFmtId="0" fontId="44" fillId="10" borderId="2" xfId="0" applyFont="1" applyFill="1" applyBorder="1" applyProtection="1">
      <protection hidden="1"/>
    </xf>
    <xf numFmtId="0" fontId="44" fillId="10" borderId="0" xfId="0" applyFont="1" applyFill="1" applyAlignment="1" applyProtection="1">
      <alignment wrapText="1"/>
      <protection hidden="1"/>
    </xf>
    <xf numFmtId="0" fontId="44" fillId="10" borderId="0" xfId="1" applyNumberFormat="1" applyFont="1" applyFill="1" applyBorder="1" applyAlignment="1" applyProtection="1">
      <alignment wrapText="1"/>
      <protection hidden="1"/>
    </xf>
    <xf numFmtId="164" fontId="44" fillId="10" borderId="0" xfId="1" applyFont="1" applyFill="1" applyBorder="1" applyAlignment="1" applyProtection="1">
      <alignment wrapText="1"/>
      <protection hidden="1"/>
    </xf>
    <xf numFmtId="165" fontId="44" fillId="10" borderId="0" xfId="1" applyNumberFormat="1" applyFont="1" applyFill="1" applyBorder="1" applyAlignment="1" applyProtection="1">
      <alignment wrapText="1"/>
      <protection hidden="1"/>
    </xf>
    <xf numFmtId="165" fontId="44" fillId="10" borderId="6" xfId="1" applyNumberFormat="1" applyFont="1" applyFill="1" applyBorder="1" applyAlignment="1" applyProtection="1">
      <alignment wrapText="1"/>
      <protection hidden="1"/>
    </xf>
    <xf numFmtId="164" fontId="6" fillId="0" borderId="21" xfId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4" fontId="6" fillId="0" borderId="19" xfId="1" applyFont="1" applyFill="1" applyBorder="1" applyProtection="1">
      <protection hidden="1"/>
    </xf>
    <xf numFmtId="165" fontId="6" fillId="0" borderId="19" xfId="1" applyNumberFormat="1" applyFont="1" applyFill="1" applyBorder="1" applyProtection="1">
      <protection hidden="1"/>
    </xf>
    <xf numFmtId="165" fontId="29" fillId="12" borderId="1" xfId="1" applyNumberFormat="1" applyFont="1" applyFill="1" applyBorder="1" applyAlignment="1" applyProtection="1">
      <alignment wrapText="1"/>
      <protection hidden="1"/>
    </xf>
    <xf numFmtId="165" fontId="47" fillId="12" borderId="1" xfId="1" applyNumberFormat="1" applyFont="1" applyFill="1" applyBorder="1" applyAlignment="1" applyProtection="1">
      <alignment horizontal="center"/>
      <protection hidden="1"/>
    </xf>
    <xf numFmtId="0" fontId="29" fillId="11" borderId="1" xfId="0" applyFont="1" applyFill="1" applyBorder="1" applyProtection="1"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1" borderId="1" xfId="0" quotePrefix="1" applyFont="1" applyFill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horizontal="center"/>
      <protection hidden="1"/>
    </xf>
    <xf numFmtId="0" fontId="29" fillId="11" borderId="1" xfId="0" applyFont="1" applyFill="1" applyBorder="1" applyAlignment="1" applyProtection="1">
      <alignment wrapText="1"/>
      <protection hidden="1"/>
    </xf>
    <xf numFmtId="0" fontId="29" fillId="11" borderId="1" xfId="0" applyFont="1" applyFill="1" applyBorder="1" applyAlignment="1" applyProtection="1">
      <alignment horizontal="center" wrapText="1"/>
      <protection hidden="1"/>
    </xf>
    <xf numFmtId="0" fontId="29" fillId="11" borderId="1" xfId="0" quotePrefix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165" fontId="29" fillId="11" borderId="1" xfId="1" applyNumberFormat="1" applyFont="1" applyFill="1" applyBorder="1" applyProtection="1"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1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12.28515625" style="5" customWidth="1"/>
    <col min="2" max="2" width="61.28515625" style="85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2" width="11.7109375" style="7" customWidth="1"/>
    <col min="13" max="13" width="15" style="7" customWidth="1"/>
    <col min="14" max="14" width="14" style="7" customWidth="1"/>
    <col min="15" max="16" width="11.7109375" style="7" customWidth="1"/>
    <col min="17" max="17" width="10.140625" style="6" customWidth="1"/>
    <col min="18" max="18" width="10.140625" style="7" customWidth="1"/>
    <col min="19" max="20" width="11.7109375" style="7" customWidth="1"/>
    <col min="21" max="21" width="10.140625" style="6" bestFit="1" customWidth="1"/>
    <col min="22" max="22" width="9.85546875" style="7" customWidth="1"/>
    <col min="23" max="23" width="10.140625" style="6" bestFit="1" customWidth="1"/>
    <col min="24" max="24" width="10.5703125" style="7" bestFit="1" customWidth="1"/>
    <col min="25" max="28" width="9.42578125" style="6" bestFit="1" customWidth="1"/>
    <col min="29" max="30" width="10.5703125" style="6" bestFit="1" customWidth="1"/>
    <col min="31" max="31" width="10.140625" style="6" bestFit="1" customWidth="1"/>
    <col min="32" max="32" width="10.42578125" style="7" bestFit="1" customWidth="1"/>
    <col min="33" max="33" width="9.42578125" style="7" bestFit="1" customWidth="1"/>
    <col min="34" max="34" width="10.5703125" style="7" bestFit="1" customWidth="1"/>
    <col min="35" max="35" width="10.5703125" style="7" hidden="1" customWidth="1"/>
    <col min="36" max="36" width="11.42578125" style="6" customWidth="1"/>
    <col min="37" max="37" width="10.5703125" style="7" customWidth="1"/>
    <col min="38" max="38" width="10.85546875" style="6" customWidth="1"/>
    <col min="39" max="39" width="11.140625" style="7" customWidth="1"/>
    <col min="40" max="40" width="10.140625" style="6" bestFit="1" customWidth="1"/>
    <col min="41" max="41" width="10.42578125" style="7" bestFit="1" customWidth="1"/>
    <col min="42" max="42" width="9.42578125" style="7" bestFit="1" customWidth="1"/>
    <col min="43" max="43" width="10.7109375" style="6" bestFit="1" customWidth="1"/>
    <col min="44" max="44" width="10.42578125" style="7" bestFit="1" customWidth="1"/>
    <col min="45" max="46" width="10.5703125" style="7" bestFit="1" customWidth="1"/>
    <col min="47" max="47" width="11.42578125" style="7" bestFit="1" customWidth="1"/>
    <col min="48" max="48" width="11.85546875" style="7" bestFit="1" customWidth="1"/>
    <col min="49" max="49" width="10.5703125" style="6" bestFit="1" customWidth="1"/>
    <col min="50" max="50" width="7.85546875" style="7" bestFit="1" customWidth="1"/>
    <col min="51" max="51" width="11.42578125" style="7" hidden="1" customWidth="1"/>
    <col min="52" max="52" width="11.85546875" style="7" hidden="1" customWidth="1"/>
    <col min="53" max="53" width="11.42578125" style="7" bestFit="1" customWidth="1"/>
    <col min="54" max="54" width="11.85546875" style="7" bestFit="1" customWidth="1"/>
    <col min="55" max="16384" width="9.140625" style="5"/>
  </cols>
  <sheetData>
    <row r="1" spans="1:54" ht="23.25" x14ac:dyDescent="0.35">
      <c r="A1" s="1" t="s">
        <v>242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  <c r="BA1" s="2"/>
      <c r="BB1" s="4"/>
    </row>
    <row r="2" spans="1:54" x14ac:dyDescent="0.2">
      <c r="A2" s="146"/>
      <c r="B2" s="147"/>
      <c r="C2" s="148"/>
      <c r="D2" s="149"/>
      <c r="E2" s="150"/>
      <c r="F2" s="149"/>
      <c r="G2" s="150"/>
      <c r="H2" s="149"/>
      <c r="I2" s="150"/>
      <c r="J2" s="150"/>
      <c r="K2" s="150"/>
      <c r="L2" s="150"/>
      <c r="M2" s="150"/>
      <c r="N2" s="150"/>
      <c r="O2" s="150"/>
      <c r="P2" s="150"/>
      <c r="Q2" s="149"/>
      <c r="R2" s="150"/>
      <c r="S2" s="150"/>
      <c r="T2" s="150"/>
      <c r="U2" s="149"/>
      <c r="V2" s="150"/>
      <c r="W2" s="149"/>
      <c r="X2" s="150"/>
      <c r="Y2" s="149"/>
      <c r="Z2" s="149"/>
      <c r="AA2" s="149"/>
      <c r="AB2" s="149"/>
      <c r="AC2" s="149"/>
      <c r="AD2" s="149"/>
      <c r="AE2" s="149"/>
      <c r="AF2" s="150"/>
      <c r="AG2" s="150"/>
      <c r="AH2" s="150"/>
      <c r="AI2" s="150"/>
      <c r="AJ2" s="149"/>
      <c r="AK2" s="150"/>
      <c r="AL2" s="149"/>
      <c r="AM2" s="150"/>
      <c r="AN2" s="149"/>
      <c r="AO2" s="150"/>
      <c r="AP2" s="150"/>
      <c r="AQ2" s="149"/>
      <c r="AR2" s="150"/>
      <c r="AS2" s="150"/>
      <c r="AT2" s="150"/>
      <c r="AU2" s="150"/>
      <c r="AV2" s="150"/>
      <c r="AW2" s="149"/>
      <c r="AX2" s="150"/>
      <c r="AY2" s="150"/>
      <c r="AZ2" s="150"/>
      <c r="BA2" s="150"/>
      <c r="BB2" s="151"/>
    </row>
    <row r="3" spans="1:54" ht="15.75" customHeight="1" x14ac:dyDescent="0.25">
      <c r="A3" s="142" t="s">
        <v>152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4"/>
      <c r="AX3" s="143"/>
      <c r="AY3" s="143"/>
      <c r="AZ3" s="143"/>
      <c r="BA3" s="143"/>
      <c r="BB3" s="145"/>
    </row>
    <row r="4" spans="1:54" ht="15.75" x14ac:dyDescent="0.25">
      <c r="A4" s="140"/>
      <c r="B4" s="141"/>
      <c r="C4" s="128"/>
      <c r="D4" s="306" t="s">
        <v>110</v>
      </c>
      <c r="E4" s="308"/>
      <c r="F4" s="314" t="s">
        <v>111</v>
      </c>
      <c r="G4" s="315"/>
      <c r="H4" s="315"/>
      <c r="I4" s="315"/>
      <c r="J4" s="315"/>
      <c r="K4" s="315"/>
      <c r="L4" s="315"/>
      <c r="M4" s="315"/>
      <c r="N4" s="315"/>
      <c r="O4" s="315"/>
      <c r="P4" s="316"/>
      <c r="Q4" s="306" t="s">
        <v>112</v>
      </c>
      <c r="R4" s="307"/>
      <c r="S4" s="307"/>
      <c r="T4" s="308"/>
      <c r="U4" s="306" t="s">
        <v>113</v>
      </c>
      <c r="V4" s="307"/>
      <c r="W4" s="307"/>
      <c r="X4" s="307"/>
      <c r="Y4" s="307"/>
      <c r="Z4" s="307"/>
      <c r="AA4" s="307"/>
      <c r="AB4" s="307"/>
      <c r="AC4" s="307"/>
      <c r="AD4" s="308"/>
      <c r="AE4" s="306" t="s">
        <v>114</v>
      </c>
      <c r="AF4" s="307"/>
      <c r="AG4" s="307"/>
      <c r="AH4" s="307"/>
      <c r="AI4" s="308"/>
      <c r="AJ4" s="306" t="s">
        <v>115</v>
      </c>
      <c r="AK4" s="307"/>
      <c r="AL4" s="307"/>
      <c r="AM4" s="308"/>
      <c r="AN4" s="306" t="s">
        <v>116</v>
      </c>
      <c r="AO4" s="307"/>
      <c r="AP4" s="308"/>
      <c r="AQ4" s="309" t="s">
        <v>117</v>
      </c>
      <c r="AR4" s="310"/>
      <c r="AS4" s="310"/>
      <c r="AT4" s="310"/>
      <c r="AU4" s="311" t="s">
        <v>118</v>
      </c>
      <c r="AV4" s="312"/>
      <c r="AW4" s="312"/>
      <c r="AX4" s="312"/>
      <c r="AY4" s="312"/>
      <c r="AZ4" s="312"/>
      <c r="BA4" s="312"/>
      <c r="BB4" s="313"/>
    </row>
    <row r="5" spans="1:54" ht="84" customHeight="1" x14ac:dyDescent="0.2">
      <c r="A5" s="8" t="s">
        <v>0</v>
      </c>
      <c r="B5" s="9" t="s">
        <v>1</v>
      </c>
      <c r="C5" s="10" t="s">
        <v>2</v>
      </c>
      <c r="D5" s="11" t="s">
        <v>234</v>
      </c>
      <c r="E5" s="12" t="s">
        <v>119</v>
      </c>
      <c r="F5" s="11" t="s">
        <v>139</v>
      </c>
      <c r="G5" s="11" t="s">
        <v>140</v>
      </c>
      <c r="H5" s="11" t="s">
        <v>229</v>
      </c>
      <c r="I5" s="11" t="s">
        <v>230</v>
      </c>
      <c r="J5" s="12" t="s">
        <v>122</v>
      </c>
      <c r="K5" s="12" t="s">
        <v>122</v>
      </c>
      <c r="L5" s="12" t="s">
        <v>122</v>
      </c>
      <c r="M5" s="12" t="s">
        <v>122</v>
      </c>
      <c r="N5" s="12" t="s">
        <v>122</v>
      </c>
      <c r="O5" s="12" t="s">
        <v>122</v>
      </c>
      <c r="P5" s="12" t="s">
        <v>122</v>
      </c>
      <c r="Q5" s="11" t="s">
        <v>121</v>
      </c>
      <c r="R5" s="12" t="s">
        <v>119</v>
      </c>
      <c r="S5" s="12" t="s">
        <v>122</v>
      </c>
      <c r="T5" s="12" t="s">
        <v>122</v>
      </c>
      <c r="U5" s="11" t="s">
        <v>139</v>
      </c>
      <c r="V5" s="12" t="s">
        <v>140</v>
      </c>
      <c r="W5" s="11" t="s">
        <v>229</v>
      </c>
      <c r="X5" s="11" t="s">
        <v>230</v>
      </c>
      <c r="Y5" s="13" t="s">
        <v>123</v>
      </c>
      <c r="Z5" s="13" t="s">
        <v>124</v>
      </c>
      <c r="AA5" s="13" t="s">
        <v>125</v>
      </c>
      <c r="AB5" s="13" t="s">
        <v>126</v>
      </c>
      <c r="AC5" s="13" t="s">
        <v>127</v>
      </c>
      <c r="AD5" s="13" t="s">
        <v>128</v>
      </c>
      <c r="AE5" s="11" t="s">
        <v>120</v>
      </c>
      <c r="AF5" s="11" t="s">
        <v>119</v>
      </c>
      <c r="AG5" s="11" t="s">
        <v>122</v>
      </c>
      <c r="AH5" s="11" t="s">
        <v>122</v>
      </c>
      <c r="AI5" s="11" t="s">
        <v>122</v>
      </c>
      <c r="AJ5" s="11" t="s">
        <v>231</v>
      </c>
      <c r="AK5" s="11" t="s">
        <v>129</v>
      </c>
      <c r="AL5" s="11" t="s">
        <v>130</v>
      </c>
      <c r="AM5" s="11" t="s">
        <v>131</v>
      </c>
      <c r="AN5" s="11" t="s">
        <v>132</v>
      </c>
      <c r="AO5" s="12" t="s">
        <v>119</v>
      </c>
      <c r="AP5" s="12" t="s">
        <v>122</v>
      </c>
      <c r="AQ5" s="11" t="s">
        <v>130</v>
      </c>
      <c r="AR5" s="12" t="s">
        <v>119</v>
      </c>
      <c r="AS5" s="11" t="s">
        <v>133</v>
      </c>
      <c r="AT5" s="11" t="s">
        <v>133</v>
      </c>
      <c r="AU5" s="11" t="s">
        <v>134</v>
      </c>
      <c r="AV5" s="11" t="s">
        <v>135</v>
      </c>
      <c r="AW5" s="11" t="s">
        <v>232</v>
      </c>
      <c r="AX5" s="11" t="s">
        <v>233</v>
      </c>
      <c r="AY5" s="11" t="s">
        <v>136</v>
      </c>
      <c r="AZ5" s="12" t="s">
        <v>137</v>
      </c>
      <c r="BA5" s="11" t="s">
        <v>138</v>
      </c>
      <c r="BB5" s="12" t="s">
        <v>99</v>
      </c>
    </row>
    <row r="6" spans="1:54" ht="13.5" customHeight="1" x14ac:dyDescent="0.2">
      <c r="A6" s="14"/>
      <c r="B6" s="15"/>
      <c r="C6" s="16"/>
      <c r="D6" s="17"/>
      <c r="E6" s="18"/>
      <c r="F6" s="116"/>
      <c r="G6" s="18"/>
      <c r="H6" s="116"/>
      <c r="I6" s="18"/>
      <c r="J6" s="21">
        <v>1.1000000000000001</v>
      </c>
      <c r="K6" s="21">
        <v>1.37</v>
      </c>
      <c r="L6" s="21">
        <v>1.47</v>
      </c>
      <c r="M6" s="21">
        <v>1.62</v>
      </c>
      <c r="N6" s="21">
        <v>2</v>
      </c>
      <c r="O6" s="21">
        <v>2.15</v>
      </c>
      <c r="P6" s="21">
        <v>3</v>
      </c>
      <c r="Q6" s="116"/>
      <c r="R6" s="18"/>
      <c r="S6" s="21">
        <v>1.3</v>
      </c>
      <c r="T6" s="21">
        <v>1.5</v>
      </c>
      <c r="U6" s="17"/>
      <c r="V6" s="19"/>
      <c r="W6" s="17"/>
      <c r="X6" s="19"/>
      <c r="Y6" s="20">
        <v>1.1000000000000001</v>
      </c>
      <c r="Z6" s="20">
        <v>1.37</v>
      </c>
      <c r="AA6" s="20">
        <v>1.62</v>
      </c>
      <c r="AB6" s="20">
        <v>1.47</v>
      </c>
      <c r="AC6" s="20">
        <v>2.17</v>
      </c>
      <c r="AD6" s="20">
        <v>3</v>
      </c>
      <c r="AE6" s="17"/>
      <c r="AF6" s="17"/>
      <c r="AG6" s="21">
        <v>1.65</v>
      </c>
      <c r="AH6" s="21">
        <v>2.1</v>
      </c>
      <c r="AI6" s="21">
        <v>3</v>
      </c>
      <c r="AJ6" s="17"/>
      <c r="AK6" s="19"/>
      <c r="AL6" s="17"/>
      <c r="AM6" s="19"/>
      <c r="AN6" s="116"/>
      <c r="AO6" s="18"/>
      <c r="AP6" s="21">
        <v>1.5</v>
      </c>
      <c r="AQ6" s="17"/>
      <c r="AR6" s="17"/>
      <c r="AS6" s="21">
        <v>1.3</v>
      </c>
      <c r="AT6" s="21">
        <v>1.45</v>
      </c>
      <c r="AU6" s="17"/>
      <c r="AV6" s="17"/>
      <c r="AW6" s="17"/>
      <c r="AX6" s="17"/>
      <c r="AY6" s="17"/>
      <c r="AZ6" s="17"/>
      <c r="BA6" s="18"/>
      <c r="BB6" s="18"/>
    </row>
    <row r="7" spans="1:54" ht="13.5" customHeight="1" x14ac:dyDescent="0.2">
      <c r="A7" s="14"/>
      <c r="B7" s="15"/>
      <c r="C7" s="22" t="s">
        <v>96</v>
      </c>
      <c r="D7" s="129" t="s">
        <v>86</v>
      </c>
      <c r="E7" s="130" t="s">
        <v>86</v>
      </c>
      <c r="F7" s="129" t="s">
        <v>86</v>
      </c>
      <c r="G7" s="130" t="s">
        <v>86</v>
      </c>
      <c r="H7" s="129" t="s">
        <v>86</v>
      </c>
      <c r="I7" s="130" t="s">
        <v>86</v>
      </c>
      <c r="J7" s="130" t="s">
        <v>86</v>
      </c>
      <c r="K7" s="130" t="s">
        <v>86</v>
      </c>
      <c r="L7" s="130" t="s">
        <v>86</v>
      </c>
      <c r="M7" s="130" t="s">
        <v>86</v>
      </c>
      <c r="N7" s="130" t="s">
        <v>86</v>
      </c>
      <c r="O7" s="130" t="s">
        <v>86</v>
      </c>
      <c r="P7" s="130" t="s">
        <v>86</v>
      </c>
      <c r="Q7" s="130" t="s">
        <v>86</v>
      </c>
      <c r="R7" s="130" t="s">
        <v>86</v>
      </c>
      <c r="S7" s="130" t="s">
        <v>86</v>
      </c>
      <c r="T7" s="130" t="s">
        <v>86</v>
      </c>
      <c r="U7" s="130" t="s">
        <v>86</v>
      </c>
      <c r="V7" s="130" t="s">
        <v>86</v>
      </c>
      <c r="W7" s="130" t="s">
        <v>86</v>
      </c>
      <c r="X7" s="130" t="s">
        <v>86</v>
      </c>
      <c r="Y7" s="130" t="s">
        <v>86</v>
      </c>
      <c r="Z7" s="130" t="s">
        <v>86</v>
      </c>
      <c r="AA7" s="130" t="s">
        <v>86</v>
      </c>
      <c r="AB7" s="130" t="s">
        <v>86</v>
      </c>
      <c r="AC7" s="130" t="s">
        <v>86</v>
      </c>
      <c r="AD7" s="130" t="s">
        <v>86</v>
      </c>
      <c r="AE7" s="130" t="s">
        <v>86</v>
      </c>
      <c r="AF7" s="130" t="s">
        <v>86</v>
      </c>
      <c r="AG7" s="130" t="s">
        <v>86</v>
      </c>
      <c r="AH7" s="130" t="s">
        <v>86</v>
      </c>
      <c r="AI7" s="130" t="s">
        <v>86</v>
      </c>
      <c r="AJ7" s="130" t="s">
        <v>86</v>
      </c>
      <c r="AK7" s="130" t="s">
        <v>86</v>
      </c>
      <c r="AL7" s="130" t="s">
        <v>86</v>
      </c>
      <c r="AM7" s="130" t="s">
        <v>86</v>
      </c>
      <c r="AN7" s="129" t="s">
        <v>86</v>
      </c>
      <c r="AO7" s="130" t="s">
        <v>86</v>
      </c>
      <c r="AP7" s="130" t="s">
        <v>86</v>
      </c>
      <c r="AQ7" s="129" t="s">
        <v>86</v>
      </c>
      <c r="AR7" s="130" t="s">
        <v>86</v>
      </c>
      <c r="AS7" s="130" t="s">
        <v>86</v>
      </c>
      <c r="AT7" s="130" t="s">
        <v>86</v>
      </c>
      <c r="AU7" s="129" t="s">
        <v>86</v>
      </c>
      <c r="AV7" s="130" t="s">
        <v>86</v>
      </c>
      <c r="AW7" s="129" t="s">
        <v>86</v>
      </c>
      <c r="AX7" s="130" t="s">
        <v>86</v>
      </c>
      <c r="AY7" s="129" t="s">
        <v>86</v>
      </c>
      <c r="AZ7" s="130" t="s">
        <v>86</v>
      </c>
      <c r="BA7" s="130" t="s">
        <v>86</v>
      </c>
      <c r="BB7" s="130" t="s">
        <v>86</v>
      </c>
    </row>
    <row r="8" spans="1:54" x14ac:dyDescent="0.2">
      <c r="A8" s="23"/>
      <c r="B8" s="24" t="s">
        <v>3</v>
      </c>
      <c r="C8" s="131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4"/>
      <c r="R8" s="134"/>
      <c r="S8" s="133"/>
      <c r="T8" s="133"/>
      <c r="U8" s="134"/>
      <c r="V8" s="135"/>
      <c r="W8" s="134"/>
      <c r="X8" s="133"/>
      <c r="Y8" s="136"/>
      <c r="Z8" s="136"/>
      <c r="AA8" s="137"/>
      <c r="AB8" s="137"/>
      <c r="AC8" s="137"/>
      <c r="AD8" s="137"/>
      <c r="AE8" s="134"/>
      <c r="AF8" s="133"/>
      <c r="AG8" s="132"/>
      <c r="AH8" s="132"/>
      <c r="AI8" s="138"/>
      <c r="AJ8" s="132"/>
      <c r="AK8" s="132"/>
      <c r="AL8" s="132"/>
      <c r="AM8" s="132"/>
      <c r="AN8" s="132"/>
      <c r="AO8" s="132"/>
      <c r="AP8" s="138"/>
      <c r="AQ8" s="132"/>
      <c r="AR8" s="132"/>
      <c r="AS8" s="138"/>
      <c r="AT8" s="138"/>
      <c r="AU8" s="132"/>
      <c r="AV8" s="132"/>
      <c r="AW8" s="132"/>
      <c r="AX8" s="132"/>
      <c r="AY8" s="132"/>
      <c r="AZ8" s="132"/>
      <c r="BA8" s="133"/>
      <c r="BB8" s="152"/>
    </row>
    <row r="9" spans="1:54" x14ac:dyDescent="0.2">
      <c r="A9" s="32"/>
      <c r="B9" s="33"/>
      <c r="C9" s="34"/>
      <c r="D9" s="34"/>
      <c r="E9" s="35"/>
      <c r="F9" s="34"/>
      <c r="G9" s="35"/>
      <c r="H9" s="34"/>
      <c r="I9" s="35"/>
      <c r="J9" s="109"/>
      <c r="K9" s="109"/>
      <c r="L9" s="109"/>
      <c r="M9" s="109"/>
      <c r="N9" s="109"/>
      <c r="O9" s="109"/>
      <c r="P9" s="109"/>
      <c r="Q9" s="34"/>
      <c r="R9" s="35"/>
      <c r="S9" s="109"/>
      <c r="T9" s="109"/>
      <c r="U9" s="36"/>
      <c r="V9" s="35"/>
      <c r="W9" s="36"/>
      <c r="X9" s="35"/>
      <c r="Y9" s="37"/>
      <c r="Z9" s="37"/>
      <c r="AA9" s="37"/>
      <c r="AB9" s="37"/>
      <c r="AC9" s="37"/>
      <c r="AD9" s="37"/>
      <c r="AE9" s="34"/>
      <c r="AF9" s="34"/>
      <c r="AG9" s="38"/>
      <c r="AH9" s="38"/>
      <c r="AI9" s="38"/>
      <c r="AJ9" s="36"/>
      <c r="AK9" s="35"/>
      <c r="AL9" s="34"/>
      <c r="AM9" s="35"/>
      <c r="AN9" s="34"/>
      <c r="AO9" s="34"/>
      <c r="AP9" s="38"/>
      <c r="AQ9" s="34"/>
      <c r="AR9" s="34"/>
      <c r="AS9" s="38"/>
      <c r="AT9" s="38"/>
      <c r="AU9" s="36"/>
      <c r="AV9" s="35"/>
      <c r="AW9" s="34"/>
      <c r="AX9" s="35"/>
      <c r="AY9" s="36"/>
      <c r="AZ9" s="35"/>
      <c r="BA9" s="36"/>
      <c r="BB9" s="35"/>
    </row>
    <row r="10" spans="1:54" x14ac:dyDescent="0.2">
      <c r="A10" s="39"/>
      <c r="B10" s="40" t="s">
        <v>95</v>
      </c>
      <c r="C10" s="41"/>
      <c r="D10" s="41"/>
      <c r="E10" s="42"/>
      <c r="F10" s="44"/>
      <c r="G10" s="42"/>
      <c r="H10" s="44"/>
      <c r="I10" s="42"/>
      <c r="J10" s="110"/>
      <c r="K10" s="110"/>
      <c r="L10" s="110"/>
      <c r="M10" s="110"/>
      <c r="N10" s="110"/>
      <c r="O10" s="110"/>
      <c r="P10" s="110"/>
      <c r="Q10" s="44"/>
      <c r="R10" s="42"/>
      <c r="S10" s="110"/>
      <c r="T10" s="110"/>
      <c r="U10" s="43"/>
      <c r="V10" s="42"/>
      <c r="W10" s="43"/>
      <c r="X10" s="42"/>
      <c r="Y10" s="45"/>
      <c r="Z10" s="45"/>
      <c r="AA10" s="45"/>
      <c r="AB10" s="45"/>
      <c r="AC10" s="45"/>
      <c r="AD10" s="45"/>
      <c r="AE10" s="44"/>
      <c r="AF10" s="42"/>
      <c r="AG10" s="46"/>
      <c r="AH10" s="46"/>
      <c r="AI10" s="46"/>
      <c r="AJ10" s="44"/>
      <c r="AK10" s="42"/>
      <c r="AL10" s="44"/>
      <c r="AM10" s="42"/>
      <c r="AN10" s="44"/>
      <c r="AO10" s="42"/>
      <c r="AP10" s="46"/>
      <c r="AQ10" s="44"/>
      <c r="AR10" s="42"/>
      <c r="AS10" s="46"/>
      <c r="AT10" s="46"/>
      <c r="AU10" s="43"/>
      <c r="AV10" s="42"/>
      <c r="AW10" s="44"/>
      <c r="AX10" s="42"/>
      <c r="AY10" s="44"/>
      <c r="AZ10" s="42"/>
      <c r="BA10" s="43"/>
      <c r="BB10" s="42"/>
    </row>
    <row r="11" spans="1:54" x14ac:dyDescent="0.2">
      <c r="A11" s="47" t="s">
        <v>15</v>
      </c>
      <c r="B11" s="48" t="s">
        <v>25</v>
      </c>
      <c r="C11" s="44">
        <v>33</v>
      </c>
      <c r="D11" s="44">
        <f t="shared" ref="D11:D31" si="0">ROUND(E11*C11,1)</f>
        <v>2248.6999999999998</v>
      </c>
      <c r="E11" s="113">
        <f>RCFs!$C$43</f>
        <v>68.141894999999991</v>
      </c>
      <c r="F11" s="117">
        <f t="shared" ref="F11:F31" si="1">ROUNDDOWN((H11/1.039),1)</f>
        <v>879.8</v>
      </c>
      <c r="G11" s="113">
        <f t="shared" ref="G11:G21" si="2">F11/C11</f>
        <v>26.66060606060606</v>
      </c>
      <c r="H11" s="117">
        <v>914.2</v>
      </c>
      <c r="I11" s="113">
        <f t="shared" ref="I11:I21" si="3">H11/C11</f>
        <v>27.703030303030303</v>
      </c>
      <c r="J11" s="46">
        <f t="shared" ref="J11:P23" si="4">ROUND($C11*$I11*J$6,1)</f>
        <v>1005.6</v>
      </c>
      <c r="K11" s="46">
        <f t="shared" si="4"/>
        <v>1252.5</v>
      </c>
      <c r="L11" s="46">
        <f t="shared" si="4"/>
        <v>1343.9</v>
      </c>
      <c r="M11" s="46">
        <f t="shared" si="4"/>
        <v>1481</v>
      </c>
      <c r="N11" s="46">
        <f t="shared" si="4"/>
        <v>1828.4</v>
      </c>
      <c r="O11" s="46">
        <f t="shared" si="4"/>
        <v>1965.5</v>
      </c>
      <c r="P11" s="46">
        <f t="shared" si="4"/>
        <v>2742.6</v>
      </c>
      <c r="Q11" s="118">
        <v>940.9</v>
      </c>
      <c r="R11" s="113">
        <f t="shared" ref="R11:R16" si="5">Q11/C11</f>
        <v>28.512121212121212</v>
      </c>
      <c r="S11" s="46">
        <f>ROUNDDOWN($Q11*S$6,1)</f>
        <v>1223.0999999999999</v>
      </c>
      <c r="T11" s="46">
        <f>ROUNDDOWN($Q11*T$6,1)</f>
        <v>1411.3</v>
      </c>
      <c r="U11" s="118">
        <v>860.3</v>
      </c>
      <c r="V11" s="42">
        <f t="shared" ref="V11:V21" si="6">U11/C11</f>
        <v>26.069696969696967</v>
      </c>
      <c r="W11" s="118">
        <v>916.2</v>
      </c>
      <c r="X11" s="42">
        <f t="shared" ref="X11:X21" si="7">W11/C11</f>
        <v>27.763636363636365</v>
      </c>
      <c r="Y11" s="46">
        <f t="shared" ref="Y11:AD19" si="8">ROUND($C11*$X11*Y$6,1)</f>
        <v>1007.8</v>
      </c>
      <c r="Z11" s="46">
        <f t="shared" si="8"/>
        <v>1255.2</v>
      </c>
      <c r="AA11" s="46">
        <f t="shared" si="8"/>
        <v>1484.2</v>
      </c>
      <c r="AB11" s="46">
        <f t="shared" si="8"/>
        <v>1346.8</v>
      </c>
      <c r="AC11" s="46">
        <f t="shared" si="8"/>
        <v>1988.2</v>
      </c>
      <c r="AD11" s="46">
        <f t="shared" si="8"/>
        <v>2748.6</v>
      </c>
      <c r="AE11" s="44">
        <v>940.2</v>
      </c>
      <c r="AF11" s="115">
        <f t="shared" ref="AF11:AF16" si="9">AE11/C11</f>
        <v>28.490909090909092</v>
      </c>
      <c r="AG11" s="46">
        <f t="shared" ref="AG11:AI31" si="10">ROUND($AE11*AG$6,1)</f>
        <v>1551.3</v>
      </c>
      <c r="AH11" s="46">
        <f t="shared" si="10"/>
        <v>1974.4</v>
      </c>
      <c r="AI11" s="46">
        <f t="shared" si="10"/>
        <v>2820.6</v>
      </c>
      <c r="AJ11" s="118">
        <v>899.2</v>
      </c>
      <c r="AK11" s="42">
        <f>AJ11/$C11</f>
        <v>27.24848484848485</v>
      </c>
      <c r="AL11" s="118">
        <v>1240.2</v>
      </c>
      <c r="AM11" s="42">
        <f>AL11/$C11</f>
        <v>37.581818181818186</v>
      </c>
      <c r="AN11" s="44">
        <v>987</v>
      </c>
      <c r="AO11" s="115">
        <f>AN11/C11</f>
        <v>29.90909090909091</v>
      </c>
      <c r="AP11" s="46">
        <f t="shared" ref="AP11:AP31" si="11">ROUNDDOWN($AN11*AP$6,1)</f>
        <v>1480.5</v>
      </c>
      <c r="AQ11" s="44">
        <v>922</v>
      </c>
      <c r="AR11" s="115">
        <f t="shared" ref="AR11:AR16" si="12">AQ11/C11</f>
        <v>27.939393939393938</v>
      </c>
      <c r="AS11" s="46">
        <f>ROUNDDOWN($AQ11*AS$6,1)</f>
        <v>1198.5999999999999</v>
      </c>
      <c r="AT11" s="46">
        <f>ROUNDDOWN($AQ11*AT$6,1)</f>
        <v>1336.9</v>
      </c>
      <c r="AU11" s="139">
        <v>0</v>
      </c>
      <c r="AV11" s="115">
        <f>AU11/$C11</f>
        <v>0</v>
      </c>
      <c r="AW11" s="118">
        <v>0</v>
      </c>
      <c r="AX11" s="115"/>
      <c r="AY11" s="44"/>
      <c r="AZ11" s="115">
        <f>AY11/$C11</f>
        <v>0</v>
      </c>
      <c r="BA11" s="139">
        <f t="shared" ref="BA11:BA20" si="13">ROUNDDOWN(C11*BB11,1)</f>
        <v>936.7</v>
      </c>
      <c r="BB11" s="115">
        <f>RCFs!I$41</f>
        <v>28.387</v>
      </c>
    </row>
    <row r="12" spans="1:54" x14ac:dyDescent="0.2">
      <c r="A12" s="49" t="s">
        <v>4</v>
      </c>
      <c r="B12" s="48" t="s">
        <v>26</v>
      </c>
      <c r="C12" s="44">
        <v>15</v>
      </c>
      <c r="D12" s="44">
        <f t="shared" si="0"/>
        <v>1022.1</v>
      </c>
      <c r="E12" s="113">
        <f>RCFs!$C$43</f>
        <v>68.141894999999991</v>
      </c>
      <c r="F12" s="117">
        <f t="shared" si="1"/>
        <v>399.9</v>
      </c>
      <c r="G12" s="113">
        <f t="shared" si="2"/>
        <v>26.66</v>
      </c>
      <c r="H12" s="117">
        <v>415.5</v>
      </c>
      <c r="I12" s="113">
        <f t="shared" si="3"/>
        <v>27.7</v>
      </c>
      <c r="J12" s="46">
        <f t="shared" si="4"/>
        <v>457.1</v>
      </c>
      <c r="K12" s="46">
        <f t="shared" si="4"/>
        <v>569.20000000000005</v>
      </c>
      <c r="L12" s="46">
        <f t="shared" si="4"/>
        <v>610.79999999999995</v>
      </c>
      <c r="M12" s="46">
        <f t="shared" si="4"/>
        <v>673.1</v>
      </c>
      <c r="N12" s="46">
        <f t="shared" si="4"/>
        <v>831</v>
      </c>
      <c r="O12" s="46">
        <f t="shared" si="4"/>
        <v>893.3</v>
      </c>
      <c r="P12" s="46">
        <f t="shared" si="4"/>
        <v>1246.5</v>
      </c>
      <c r="Q12" s="118">
        <v>427.7</v>
      </c>
      <c r="R12" s="113">
        <f t="shared" si="5"/>
        <v>28.513333333333332</v>
      </c>
      <c r="S12" s="46">
        <f t="shared" ref="S12:T31" si="14">ROUNDDOWN($Q12*S$6,1)</f>
        <v>556</v>
      </c>
      <c r="T12" s="46">
        <f t="shared" si="14"/>
        <v>641.5</v>
      </c>
      <c r="U12" s="118">
        <v>280.10000000000002</v>
      </c>
      <c r="V12" s="42">
        <f t="shared" si="6"/>
        <v>18.673333333333336</v>
      </c>
      <c r="W12" s="118">
        <v>298.60000000000002</v>
      </c>
      <c r="X12" s="42">
        <f t="shared" si="7"/>
        <v>19.90666666666667</v>
      </c>
      <c r="Y12" s="46">
        <f t="shared" si="8"/>
        <v>328.5</v>
      </c>
      <c r="Z12" s="46">
        <f t="shared" si="8"/>
        <v>409.1</v>
      </c>
      <c r="AA12" s="46">
        <f t="shared" si="8"/>
        <v>483.7</v>
      </c>
      <c r="AB12" s="46">
        <f t="shared" si="8"/>
        <v>438.9</v>
      </c>
      <c r="AC12" s="46">
        <f t="shared" si="8"/>
        <v>648</v>
      </c>
      <c r="AD12" s="46">
        <f t="shared" si="8"/>
        <v>895.8</v>
      </c>
      <c r="AE12" s="44">
        <v>427.3</v>
      </c>
      <c r="AF12" s="115">
        <f t="shared" si="9"/>
        <v>28.486666666666668</v>
      </c>
      <c r="AG12" s="46">
        <f t="shared" si="10"/>
        <v>705</v>
      </c>
      <c r="AH12" s="46">
        <f t="shared" si="10"/>
        <v>897.3</v>
      </c>
      <c r="AI12" s="46">
        <f t="shared" si="10"/>
        <v>1281.9000000000001</v>
      </c>
      <c r="AJ12" s="118">
        <v>408.8</v>
      </c>
      <c r="AK12" s="42">
        <f t="shared" ref="AK12:AK31" si="15">AJ12/$C12</f>
        <v>27.253333333333334</v>
      </c>
      <c r="AL12" s="118">
        <v>563.6</v>
      </c>
      <c r="AM12" s="42">
        <f t="shared" ref="AM12:AM31" si="16">AL12/$C12</f>
        <v>37.573333333333338</v>
      </c>
      <c r="AN12" s="44">
        <v>448</v>
      </c>
      <c r="AO12" s="115">
        <f t="shared" ref="AO12:AO31" si="17">AN12/C12</f>
        <v>29.866666666666667</v>
      </c>
      <c r="AP12" s="46">
        <f t="shared" si="11"/>
        <v>672</v>
      </c>
      <c r="AQ12" s="44">
        <v>418.8</v>
      </c>
      <c r="AR12" s="115">
        <f t="shared" si="12"/>
        <v>27.92</v>
      </c>
      <c r="AS12" s="46">
        <f t="shared" ref="AS12:AT31" si="18">ROUNDDOWN($AQ12*AS$6,1)</f>
        <v>544.4</v>
      </c>
      <c r="AT12" s="46">
        <f t="shared" si="18"/>
        <v>607.20000000000005</v>
      </c>
      <c r="AU12" s="44">
        <v>433</v>
      </c>
      <c r="AV12" s="115">
        <f t="shared" ref="AV12:AZ31" si="19">AU12/$C12</f>
        <v>28.866666666666667</v>
      </c>
      <c r="AW12" s="118">
        <v>437.6</v>
      </c>
      <c r="AX12" s="115">
        <f>AW12/C12</f>
        <v>29.173333333333336</v>
      </c>
      <c r="AY12" s="44"/>
      <c r="AZ12" s="115">
        <f t="shared" si="19"/>
        <v>0</v>
      </c>
      <c r="BA12" s="139">
        <f t="shared" si="13"/>
        <v>425.8</v>
      </c>
      <c r="BB12" s="115">
        <f>RCFs!I$41</f>
        <v>28.387</v>
      </c>
    </row>
    <row r="13" spans="1:54" x14ac:dyDescent="0.2">
      <c r="A13" s="49" t="s">
        <v>16</v>
      </c>
      <c r="B13" s="48" t="s">
        <v>27</v>
      </c>
      <c r="C13" s="44">
        <v>45</v>
      </c>
      <c r="D13" s="44">
        <f t="shared" si="0"/>
        <v>3066.4</v>
      </c>
      <c r="E13" s="113">
        <f>RCFs!$C$43</f>
        <v>68.141894999999991</v>
      </c>
      <c r="F13" s="117">
        <f t="shared" si="1"/>
        <v>1200</v>
      </c>
      <c r="G13" s="113">
        <f t="shared" si="2"/>
        <v>26.666666666666668</v>
      </c>
      <c r="H13" s="117">
        <v>1246.9000000000001</v>
      </c>
      <c r="I13" s="113">
        <f t="shared" si="3"/>
        <v>27.70888888888889</v>
      </c>
      <c r="J13" s="46">
        <f t="shared" si="4"/>
        <v>1371.6</v>
      </c>
      <c r="K13" s="46">
        <f t="shared" si="4"/>
        <v>1708.3</v>
      </c>
      <c r="L13" s="46">
        <f t="shared" si="4"/>
        <v>1832.9</v>
      </c>
      <c r="M13" s="46">
        <f t="shared" si="4"/>
        <v>2020</v>
      </c>
      <c r="N13" s="46">
        <f t="shared" si="4"/>
        <v>2493.8000000000002</v>
      </c>
      <c r="O13" s="46">
        <f t="shared" si="4"/>
        <v>2680.8</v>
      </c>
      <c r="P13" s="46">
        <f t="shared" si="4"/>
        <v>3740.7</v>
      </c>
      <c r="Q13" s="118">
        <v>1283.2</v>
      </c>
      <c r="R13" s="113">
        <f t="shared" si="5"/>
        <v>28.515555555555558</v>
      </c>
      <c r="S13" s="46">
        <f t="shared" si="14"/>
        <v>1668.1</v>
      </c>
      <c r="T13" s="46">
        <f t="shared" si="14"/>
        <v>1924.8</v>
      </c>
      <c r="U13" s="118">
        <v>1173.2</v>
      </c>
      <c r="V13" s="42">
        <f t="shared" si="6"/>
        <v>26.071111111111112</v>
      </c>
      <c r="W13" s="118">
        <v>1249.5999999999999</v>
      </c>
      <c r="X13" s="42">
        <f t="shared" si="7"/>
        <v>27.768888888888888</v>
      </c>
      <c r="Y13" s="46">
        <f t="shared" si="8"/>
        <v>1374.6</v>
      </c>
      <c r="Z13" s="46">
        <f t="shared" si="8"/>
        <v>1712</v>
      </c>
      <c r="AA13" s="46">
        <f t="shared" si="8"/>
        <v>2024.4</v>
      </c>
      <c r="AB13" s="46">
        <f t="shared" si="8"/>
        <v>1836.9</v>
      </c>
      <c r="AC13" s="46">
        <f t="shared" si="8"/>
        <v>2711.6</v>
      </c>
      <c r="AD13" s="46">
        <f t="shared" si="8"/>
        <v>3748.8</v>
      </c>
      <c r="AE13" s="44">
        <v>1282.3</v>
      </c>
      <c r="AF13" s="115">
        <f t="shared" si="9"/>
        <v>28.495555555555555</v>
      </c>
      <c r="AG13" s="46">
        <f t="shared" si="10"/>
        <v>2115.8000000000002</v>
      </c>
      <c r="AH13" s="46">
        <f t="shared" si="10"/>
        <v>2692.8</v>
      </c>
      <c r="AI13" s="46">
        <f t="shared" si="10"/>
        <v>3846.9</v>
      </c>
      <c r="AJ13" s="118">
        <v>0</v>
      </c>
      <c r="AK13" s="42">
        <f t="shared" si="15"/>
        <v>0</v>
      </c>
      <c r="AL13" s="118">
        <v>0</v>
      </c>
      <c r="AM13" s="42">
        <f t="shared" si="16"/>
        <v>0</v>
      </c>
      <c r="AN13" s="44">
        <v>0</v>
      </c>
      <c r="AO13" s="115">
        <f t="shared" si="17"/>
        <v>0</v>
      </c>
      <c r="AP13" s="46">
        <f t="shared" si="11"/>
        <v>0</v>
      </c>
      <c r="AQ13" s="44">
        <v>1257.4000000000001</v>
      </c>
      <c r="AR13" s="115">
        <f t="shared" si="12"/>
        <v>27.942222222222224</v>
      </c>
      <c r="AS13" s="46">
        <f>ROUNDDOWN($AQ13*AS$6,1)</f>
        <v>1634.6</v>
      </c>
      <c r="AT13" s="46">
        <f t="shared" si="18"/>
        <v>1823.2</v>
      </c>
      <c r="AU13" s="139">
        <v>0</v>
      </c>
      <c r="AV13" s="115">
        <f t="shared" si="19"/>
        <v>0</v>
      </c>
      <c r="AW13" s="118">
        <v>0</v>
      </c>
      <c r="AX13" s="115">
        <f t="shared" ref="AX13:AX31" si="20">AW13/C13</f>
        <v>0</v>
      </c>
      <c r="AY13" s="44"/>
      <c r="AZ13" s="115">
        <f t="shared" si="19"/>
        <v>0</v>
      </c>
      <c r="BA13" s="139">
        <f t="shared" si="13"/>
        <v>1277.4000000000001</v>
      </c>
      <c r="BB13" s="115">
        <f>RCFs!I$41</f>
        <v>28.387</v>
      </c>
    </row>
    <row r="14" spans="1:54" x14ac:dyDescent="0.2">
      <c r="A14" s="49" t="s">
        <v>5</v>
      </c>
      <c r="B14" s="48" t="s">
        <v>6</v>
      </c>
      <c r="C14" s="44">
        <v>15</v>
      </c>
      <c r="D14" s="44">
        <f t="shared" si="0"/>
        <v>1022.1</v>
      </c>
      <c r="E14" s="113">
        <f>RCFs!$C$43</f>
        <v>68.141894999999991</v>
      </c>
      <c r="F14" s="117">
        <f t="shared" si="1"/>
        <v>399.9</v>
      </c>
      <c r="G14" s="113">
        <f t="shared" si="2"/>
        <v>26.66</v>
      </c>
      <c r="H14" s="117">
        <v>415.5</v>
      </c>
      <c r="I14" s="113">
        <f t="shared" si="3"/>
        <v>27.7</v>
      </c>
      <c r="J14" s="46">
        <f t="shared" si="4"/>
        <v>457.1</v>
      </c>
      <c r="K14" s="46">
        <f t="shared" si="4"/>
        <v>569.20000000000005</v>
      </c>
      <c r="L14" s="46">
        <f t="shared" si="4"/>
        <v>610.79999999999995</v>
      </c>
      <c r="M14" s="46">
        <f t="shared" si="4"/>
        <v>673.1</v>
      </c>
      <c r="N14" s="46">
        <f t="shared" si="4"/>
        <v>831</v>
      </c>
      <c r="O14" s="46">
        <f t="shared" si="4"/>
        <v>893.3</v>
      </c>
      <c r="P14" s="46">
        <f t="shared" si="4"/>
        <v>1246.5</v>
      </c>
      <c r="Q14" s="118">
        <v>427.7</v>
      </c>
      <c r="R14" s="113">
        <f t="shared" si="5"/>
        <v>28.513333333333332</v>
      </c>
      <c r="S14" s="46">
        <f t="shared" si="14"/>
        <v>556</v>
      </c>
      <c r="T14" s="46">
        <f t="shared" si="14"/>
        <v>641.5</v>
      </c>
      <c r="U14" s="118">
        <v>391</v>
      </c>
      <c r="V14" s="42">
        <f t="shared" si="6"/>
        <v>26.066666666666666</v>
      </c>
      <c r="W14" s="118">
        <v>416.4</v>
      </c>
      <c r="X14" s="42">
        <f t="shared" si="7"/>
        <v>27.759999999999998</v>
      </c>
      <c r="Y14" s="46">
        <f t="shared" si="8"/>
        <v>458</v>
      </c>
      <c r="Z14" s="46">
        <f t="shared" si="8"/>
        <v>570.5</v>
      </c>
      <c r="AA14" s="46">
        <f t="shared" si="8"/>
        <v>674.6</v>
      </c>
      <c r="AB14" s="46">
        <f t="shared" si="8"/>
        <v>612.1</v>
      </c>
      <c r="AC14" s="46">
        <f t="shared" si="8"/>
        <v>903.6</v>
      </c>
      <c r="AD14" s="46">
        <f t="shared" si="8"/>
        <v>1249.2</v>
      </c>
      <c r="AE14" s="44">
        <v>427.3</v>
      </c>
      <c r="AF14" s="115">
        <f t="shared" si="9"/>
        <v>28.486666666666668</v>
      </c>
      <c r="AG14" s="46">
        <f t="shared" si="10"/>
        <v>705</v>
      </c>
      <c r="AH14" s="46">
        <f t="shared" si="10"/>
        <v>897.3</v>
      </c>
      <c r="AI14" s="46">
        <f t="shared" si="10"/>
        <v>1281.9000000000001</v>
      </c>
      <c r="AJ14" s="118"/>
      <c r="AK14" s="42">
        <f t="shared" si="15"/>
        <v>0</v>
      </c>
      <c r="AL14" s="118">
        <v>563.6</v>
      </c>
      <c r="AM14" s="42">
        <f t="shared" si="16"/>
        <v>37.573333333333338</v>
      </c>
      <c r="AN14" s="44">
        <v>448.4</v>
      </c>
      <c r="AO14" s="115">
        <f t="shared" si="17"/>
        <v>29.893333333333331</v>
      </c>
      <c r="AP14" s="46">
        <f t="shared" si="11"/>
        <v>672.6</v>
      </c>
      <c r="AQ14" s="44">
        <v>418.8</v>
      </c>
      <c r="AR14" s="115">
        <f t="shared" si="12"/>
        <v>27.92</v>
      </c>
      <c r="AS14" s="46">
        <f t="shared" ref="AS14:AS31" si="21">ROUNDDOWN($AQ14*AS$6,1)</f>
        <v>544.4</v>
      </c>
      <c r="AT14" s="46">
        <f t="shared" si="18"/>
        <v>607.20000000000005</v>
      </c>
      <c r="AU14" s="44">
        <v>433</v>
      </c>
      <c r="AV14" s="115">
        <f t="shared" si="19"/>
        <v>28.866666666666667</v>
      </c>
      <c r="AW14" s="118">
        <v>437.6</v>
      </c>
      <c r="AX14" s="115">
        <f t="shared" si="20"/>
        <v>29.173333333333336</v>
      </c>
      <c r="AY14" s="44"/>
      <c r="AZ14" s="115">
        <f t="shared" si="19"/>
        <v>0</v>
      </c>
      <c r="BA14" s="139">
        <f t="shared" si="13"/>
        <v>425.8</v>
      </c>
      <c r="BB14" s="115">
        <f>RCFs!I$41</f>
        <v>28.387</v>
      </c>
    </row>
    <row r="15" spans="1:54" x14ac:dyDescent="0.2">
      <c r="A15" s="232" t="s">
        <v>211</v>
      </c>
      <c r="B15" s="233" t="s">
        <v>212</v>
      </c>
      <c r="C15" s="234">
        <v>12</v>
      </c>
      <c r="D15" s="44">
        <f t="shared" ref="D15" si="22">ROUND(E15*C15,1)</f>
        <v>817.7</v>
      </c>
      <c r="E15" s="113">
        <f>RCFs!$C$43</f>
        <v>68.141894999999991</v>
      </c>
      <c r="F15" s="117">
        <f t="shared" si="1"/>
        <v>240</v>
      </c>
      <c r="G15" s="113">
        <f t="shared" ref="G15" si="23">F15/C15</f>
        <v>20</v>
      </c>
      <c r="H15" s="117">
        <v>249.4</v>
      </c>
      <c r="I15" s="113">
        <f t="shared" ref="I15" si="24">H15/C15</f>
        <v>20.783333333333335</v>
      </c>
      <c r="J15" s="46">
        <f t="shared" si="4"/>
        <v>274.3</v>
      </c>
      <c r="K15" s="46">
        <f t="shared" si="4"/>
        <v>341.7</v>
      </c>
      <c r="L15" s="46">
        <f t="shared" si="4"/>
        <v>366.6</v>
      </c>
      <c r="M15" s="46">
        <f t="shared" si="4"/>
        <v>404</v>
      </c>
      <c r="N15" s="46">
        <f t="shared" si="4"/>
        <v>498.8</v>
      </c>
      <c r="O15" s="46">
        <f t="shared" si="4"/>
        <v>536.20000000000005</v>
      </c>
      <c r="P15" s="46">
        <f t="shared" si="4"/>
        <v>748.2</v>
      </c>
      <c r="Q15" s="118">
        <v>342.3</v>
      </c>
      <c r="R15" s="113">
        <f t="shared" ref="R15" si="25">Q15/C15</f>
        <v>28.525000000000002</v>
      </c>
      <c r="S15" s="46">
        <f t="shared" si="14"/>
        <v>444.9</v>
      </c>
      <c r="T15" s="46">
        <f t="shared" si="14"/>
        <v>513.4</v>
      </c>
      <c r="U15" s="118">
        <v>249.6</v>
      </c>
      <c r="V15" s="42">
        <f t="shared" ref="V15" si="26">U15/C15</f>
        <v>20.8</v>
      </c>
      <c r="W15" s="118">
        <v>265.89999999999998</v>
      </c>
      <c r="X15" s="42">
        <f t="shared" ref="X15" si="27">W15/C15</f>
        <v>22.158333333333331</v>
      </c>
      <c r="Y15" s="46">
        <f t="shared" si="8"/>
        <v>292.5</v>
      </c>
      <c r="Z15" s="46">
        <f t="shared" si="8"/>
        <v>364.3</v>
      </c>
      <c r="AA15" s="46">
        <f t="shared" si="8"/>
        <v>430.8</v>
      </c>
      <c r="AB15" s="46">
        <f t="shared" si="8"/>
        <v>390.9</v>
      </c>
      <c r="AC15" s="46">
        <f t="shared" si="8"/>
        <v>577</v>
      </c>
      <c r="AD15" s="46">
        <f t="shared" si="8"/>
        <v>797.7</v>
      </c>
      <c r="AE15" s="44">
        <v>342.2</v>
      </c>
      <c r="AF15" s="115">
        <f t="shared" ref="AF15" si="28">AE15/C15</f>
        <v>28.516666666666666</v>
      </c>
      <c r="AG15" s="46">
        <f t="shared" si="10"/>
        <v>564.6</v>
      </c>
      <c r="AH15" s="46">
        <f t="shared" si="10"/>
        <v>718.6</v>
      </c>
      <c r="AI15" s="46">
        <f t="shared" si="10"/>
        <v>1026.5999999999999</v>
      </c>
      <c r="AJ15" s="118">
        <v>408.8</v>
      </c>
      <c r="AK15" s="42">
        <f t="shared" ref="AK15" si="29">AJ15/$C15</f>
        <v>34.06666666666667</v>
      </c>
      <c r="AL15" s="118">
        <v>439.6</v>
      </c>
      <c r="AM15" s="42">
        <f t="shared" ref="AM15" si="30">AL15/$C15</f>
        <v>36.633333333333333</v>
      </c>
      <c r="AN15" s="44">
        <v>359.2</v>
      </c>
      <c r="AO15" s="115">
        <f t="shared" si="17"/>
        <v>29.933333333333334</v>
      </c>
      <c r="AP15" s="46">
        <f t="shared" si="11"/>
        <v>538.79999999999995</v>
      </c>
      <c r="AQ15" s="44">
        <v>303.2</v>
      </c>
      <c r="AR15" s="115">
        <f t="shared" ref="AR15" si="31">AQ15/C15</f>
        <v>25.266666666666666</v>
      </c>
      <c r="AS15" s="46">
        <f t="shared" si="21"/>
        <v>394.1</v>
      </c>
      <c r="AT15" s="46">
        <f t="shared" si="18"/>
        <v>439.6</v>
      </c>
      <c r="AU15" s="44">
        <v>346.5</v>
      </c>
      <c r="AV15" s="115">
        <f t="shared" ref="AV15" si="32">AU15/$C15</f>
        <v>28.875</v>
      </c>
      <c r="AW15" s="118">
        <v>0</v>
      </c>
      <c r="AX15" s="115">
        <f t="shared" si="20"/>
        <v>0</v>
      </c>
      <c r="AY15" s="44"/>
      <c r="AZ15" s="115">
        <f t="shared" ref="AZ15" si="33">AY15/$C15</f>
        <v>0</v>
      </c>
      <c r="BA15" s="139">
        <f t="shared" ref="BA15" si="34">ROUNDDOWN(C15*BB15,1)</f>
        <v>340.6</v>
      </c>
      <c r="BB15" s="115">
        <f>RCFs!I$41</f>
        <v>28.387</v>
      </c>
    </row>
    <row r="16" spans="1:54" x14ac:dyDescent="0.2">
      <c r="A16" s="49" t="s">
        <v>7</v>
      </c>
      <c r="B16" s="235" t="s">
        <v>8</v>
      </c>
      <c r="C16" s="234">
        <v>5</v>
      </c>
      <c r="D16" s="44">
        <f t="shared" si="0"/>
        <v>340.7</v>
      </c>
      <c r="E16" s="113">
        <f>RCFs!$C$43</f>
        <v>68.141894999999991</v>
      </c>
      <c r="F16" s="117">
        <f t="shared" si="1"/>
        <v>133.4</v>
      </c>
      <c r="G16" s="113">
        <f t="shared" si="2"/>
        <v>26.68</v>
      </c>
      <c r="H16" s="117">
        <v>138.69999999999999</v>
      </c>
      <c r="I16" s="113">
        <f t="shared" si="3"/>
        <v>27.74</v>
      </c>
      <c r="J16" s="46">
        <f t="shared" si="4"/>
        <v>152.6</v>
      </c>
      <c r="K16" s="46">
        <f t="shared" si="4"/>
        <v>190</v>
      </c>
      <c r="L16" s="46">
        <f t="shared" si="4"/>
        <v>203.9</v>
      </c>
      <c r="M16" s="46">
        <f t="shared" si="4"/>
        <v>224.7</v>
      </c>
      <c r="N16" s="46">
        <f t="shared" si="4"/>
        <v>277.39999999999998</v>
      </c>
      <c r="O16" s="46">
        <f t="shared" si="4"/>
        <v>298.2</v>
      </c>
      <c r="P16" s="46">
        <f t="shared" si="4"/>
        <v>416.1</v>
      </c>
      <c r="Q16" s="118">
        <v>142.9</v>
      </c>
      <c r="R16" s="113">
        <f t="shared" si="5"/>
        <v>28.580000000000002</v>
      </c>
      <c r="S16" s="46">
        <f t="shared" si="14"/>
        <v>185.7</v>
      </c>
      <c r="T16" s="46">
        <f t="shared" si="14"/>
        <v>214.3</v>
      </c>
      <c r="U16" s="118">
        <v>130.19999999999999</v>
      </c>
      <c r="V16" s="42">
        <f t="shared" si="6"/>
        <v>26.04</v>
      </c>
      <c r="W16" s="118">
        <v>138.5</v>
      </c>
      <c r="X16" s="42">
        <f t="shared" si="7"/>
        <v>27.7</v>
      </c>
      <c r="Y16" s="46">
        <f t="shared" si="8"/>
        <v>152.4</v>
      </c>
      <c r="Z16" s="46">
        <f t="shared" si="8"/>
        <v>189.7</v>
      </c>
      <c r="AA16" s="46">
        <f t="shared" si="8"/>
        <v>224.4</v>
      </c>
      <c r="AB16" s="46">
        <f t="shared" si="8"/>
        <v>203.6</v>
      </c>
      <c r="AC16" s="46">
        <f t="shared" si="8"/>
        <v>300.5</v>
      </c>
      <c r="AD16" s="46">
        <f t="shared" si="8"/>
        <v>415.5</v>
      </c>
      <c r="AE16" s="44">
        <v>142.80000000000001</v>
      </c>
      <c r="AF16" s="115">
        <f t="shared" si="9"/>
        <v>28.560000000000002</v>
      </c>
      <c r="AG16" s="46">
        <f t="shared" si="10"/>
        <v>235.6</v>
      </c>
      <c r="AH16" s="46">
        <f t="shared" si="10"/>
        <v>299.89999999999998</v>
      </c>
      <c r="AI16" s="46">
        <f t="shared" si="10"/>
        <v>428.4</v>
      </c>
      <c r="AJ16" s="118">
        <v>318.89999999999998</v>
      </c>
      <c r="AK16" s="42">
        <f t="shared" si="15"/>
        <v>63.779999999999994</v>
      </c>
      <c r="AL16" s="118">
        <v>187.9</v>
      </c>
      <c r="AM16" s="42">
        <f t="shared" si="16"/>
        <v>37.58</v>
      </c>
      <c r="AN16" s="44">
        <v>149.69999999999999</v>
      </c>
      <c r="AO16" s="115">
        <f t="shared" si="17"/>
        <v>29.939999999999998</v>
      </c>
      <c r="AP16" s="46">
        <f t="shared" si="11"/>
        <v>224.5</v>
      </c>
      <c r="AQ16" s="44">
        <v>139.6</v>
      </c>
      <c r="AR16" s="115">
        <f t="shared" si="12"/>
        <v>27.919999999999998</v>
      </c>
      <c r="AS16" s="46">
        <f t="shared" si="21"/>
        <v>181.4</v>
      </c>
      <c r="AT16" s="46">
        <f t="shared" si="18"/>
        <v>202.4</v>
      </c>
      <c r="AU16" s="44">
        <v>144.30000000000001</v>
      </c>
      <c r="AV16" s="115">
        <f t="shared" si="19"/>
        <v>28.860000000000003</v>
      </c>
      <c r="AW16" s="118">
        <v>145.9</v>
      </c>
      <c r="AX16" s="115">
        <f t="shared" si="20"/>
        <v>29.18</v>
      </c>
      <c r="AY16" s="44"/>
      <c r="AZ16" s="115">
        <f t="shared" si="19"/>
        <v>0</v>
      </c>
      <c r="BA16" s="139">
        <f t="shared" si="13"/>
        <v>141.9</v>
      </c>
      <c r="BB16" s="115">
        <f>RCFs!I$41</f>
        <v>28.387</v>
      </c>
    </row>
    <row r="17" spans="1:54" x14ac:dyDescent="0.2">
      <c r="A17" s="49" t="s">
        <v>213</v>
      </c>
      <c r="B17" s="48" t="s">
        <v>214</v>
      </c>
      <c r="C17" s="234">
        <v>9</v>
      </c>
      <c r="D17" s="44">
        <f t="shared" ref="D17" si="35">ROUND(E17*C17,1)</f>
        <v>613.29999999999995</v>
      </c>
      <c r="E17" s="113">
        <f>RCFs!$C$43</f>
        <v>68.141894999999991</v>
      </c>
      <c r="F17" s="117">
        <f t="shared" si="1"/>
        <v>239.9</v>
      </c>
      <c r="G17" s="113">
        <f t="shared" ref="G17" si="36">F17/C17</f>
        <v>26.655555555555555</v>
      </c>
      <c r="H17" s="117">
        <v>249.3</v>
      </c>
      <c r="I17" s="113">
        <f t="shared" ref="I17" si="37">H17/C17</f>
        <v>27.700000000000003</v>
      </c>
      <c r="J17" s="46">
        <f t="shared" si="4"/>
        <v>274.2</v>
      </c>
      <c r="K17" s="46">
        <f t="shared" si="4"/>
        <v>341.5</v>
      </c>
      <c r="L17" s="46">
        <f t="shared" si="4"/>
        <v>366.5</v>
      </c>
      <c r="M17" s="46">
        <f t="shared" si="4"/>
        <v>403.9</v>
      </c>
      <c r="N17" s="46">
        <f t="shared" si="4"/>
        <v>498.6</v>
      </c>
      <c r="O17" s="46">
        <f t="shared" si="4"/>
        <v>536</v>
      </c>
      <c r="P17" s="46">
        <f t="shared" si="4"/>
        <v>747.9</v>
      </c>
      <c r="Q17" s="118">
        <v>256.60000000000002</v>
      </c>
      <c r="R17" s="113">
        <f t="shared" ref="R17" si="38">Q17/C17</f>
        <v>28.511111111111113</v>
      </c>
      <c r="S17" s="46">
        <f t="shared" si="14"/>
        <v>333.5</v>
      </c>
      <c r="T17" s="46">
        <f t="shared" si="14"/>
        <v>384.9</v>
      </c>
      <c r="U17" s="118">
        <v>234.4</v>
      </c>
      <c r="V17" s="42">
        <f t="shared" ref="V17" si="39">U17/C17</f>
        <v>26.044444444444444</v>
      </c>
      <c r="W17" s="118">
        <v>249.4</v>
      </c>
      <c r="X17" s="42">
        <f t="shared" ref="X17" si="40">W17/C17</f>
        <v>27.711111111111112</v>
      </c>
      <c r="Y17" s="46">
        <f t="shared" si="8"/>
        <v>274.3</v>
      </c>
      <c r="Z17" s="46">
        <f t="shared" si="8"/>
        <v>341.7</v>
      </c>
      <c r="AA17" s="46">
        <f t="shared" si="8"/>
        <v>404</v>
      </c>
      <c r="AB17" s="46">
        <f t="shared" si="8"/>
        <v>366.6</v>
      </c>
      <c r="AC17" s="46">
        <f t="shared" si="8"/>
        <v>541.20000000000005</v>
      </c>
      <c r="AD17" s="46">
        <f t="shared" si="8"/>
        <v>748.2</v>
      </c>
      <c r="AE17" s="44">
        <v>256.2</v>
      </c>
      <c r="AF17" s="115">
        <f t="shared" ref="AF17" si="41">AE17/C17</f>
        <v>28.466666666666665</v>
      </c>
      <c r="AG17" s="46">
        <f t="shared" si="10"/>
        <v>422.7</v>
      </c>
      <c r="AH17" s="46">
        <f t="shared" si="10"/>
        <v>538</v>
      </c>
      <c r="AI17" s="46">
        <f t="shared" si="10"/>
        <v>768.6</v>
      </c>
      <c r="AJ17" s="118">
        <v>136.30000000000001</v>
      </c>
      <c r="AK17" s="42">
        <f t="shared" ref="AK17" si="42">AJ17/$C17</f>
        <v>15.144444444444446</v>
      </c>
      <c r="AL17" s="118">
        <v>338.1</v>
      </c>
      <c r="AM17" s="42">
        <f t="shared" ref="AM17" si="43">AL17/$C17</f>
        <v>37.56666666666667</v>
      </c>
      <c r="AN17" s="44">
        <v>269</v>
      </c>
      <c r="AO17" s="115">
        <f t="shared" si="17"/>
        <v>29.888888888888889</v>
      </c>
      <c r="AP17" s="46">
        <f t="shared" si="11"/>
        <v>403.5</v>
      </c>
      <c r="AQ17" s="44">
        <v>251.5</v>
      </c>
      <c r="AR17" s="115">
        <f t="shared" ref="AR17" si="44">AQ17/C17</f>
        <v>27.944444444444443</v>
      </c>
      <c r="AS17" s="46">
        <f t="shared" si="21"/>
        <v>326.89999999999998</v>
      </c>
      <c r="AT17" s="46">
        <f t="shared" si="18"/>
        <v>364.6</v>
      </c>
      <c r="AU17" s="44">
        <v>260.10000000000002</v>
      </c>
      <c r="AV17" s="115">
        <f t="shared" ref="AV17" si="45">AU17/$C17</f>
        <v>28.900000000000002</v>
      </c>
      <c r="AW17" s="118">
        <v>262.60000000000002</v>
      </c>
      <c r="AX17" s="115">
        <f t="shared" si="20"/>
        <v>29.177777777777781</v>
      </c>
      <c r="AY17" s="44"/>
      <c r="AZ17" s="115">
        <f t="shared" ref="AZ17" si="46">AY17/$C17</f>
        <v>0</v>
      </c>
      <c r="BA17" s="139">
        <f t="shared" ref="BA17" si="47">ROUNDDOWN(C17*BB17,1)</f>
        <v>255.4</v>
      </c>
      <c r="BB17" s="115">
        <f>RCFs!I$41</f>
        <v>28.387</v>
      </c>
    </row>
    <row r="18" spans="1:54" x14ac:dyDescent="0.2">
      <c r="A18" s="205" t="s">
        <v>215</v>
      </c>
      <c r="B18" s="236" t="s">
        <v>216</v>
      </c>
      <c r="C18" s="237">
        <v>8</v>
      </c>
      <c r="D18" s="44">
        <f t="shared" ref="D18" si="48">ROUND(E18*C18,1)</f>
        <v>545.1</v>
      </c>
      <c r="E18" s="113">
        <f>RCFs!$C$43</f>
        <v>68.141894999999991</v>
      </c>
      <c r="F18" s="207">
        <f t="shared" si="1"/>
        <v>0</v>
      </c>
      <c r="G18" s="113">
        <f t="shared" ref="G18" si="49">F18/C18</f>
        <v>0</v>
      </c>
      <c r="H18" s="117">
        <v>0</v>
      </c>
      <c r="I18" s="113">
        <f t="shared" ref="I18" si="50">H18/C18</f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46">
        <f t="shared" si="4"/>
        <v>0</v>
      </c>
      <c r="O18" s="46">
        <f t="shared" si="4"/>
        <v>0</v>
      </c>
      <c r="P18" s="46">
        <f t="shared" si="4"/>
        <v>0</v>
      </c>
      <c r="Q18" s="207">
        <f>Q20</f>
        <v>228.1</v>
      </c>
      <c r="R18" s="113">
        <f t="shared" ref="R18" si="51">Q18/C18</f>
        <v>28.512499999999999</v>
      </c>
      <c r="S18" s="46">
        <f t="shared" si="14"/>
        <v>296.5</v>
      </c>
      <c r="T18" s="46">
        <f t="shared" si="14"/>
        <v>342.1</v>
      </c>
      <c r="U18" s="207">
        <f>U20</f>
        <v>208.7</v>
      </c>
      <c r="V18" s="42">
        <f t="shared" ref="V18" si="52">U18/C18</f>
        <v>26.087499999999999</v>
      </c>
      <c r="W18" s="207">
        <f>W20</f>
        <v>222.2</v>
      </c>
      <c r="X18" s="42">
        <f t="shared" ref="X18" si="53">W18/C18</f>
        <v>27.774999999999999</v>
      </c>
      <c r="Y18" s="46">
        <f t="shared" si="8"/>
        <v>244.4</v>
      </c>
      <c r="Z18" s="46">
        <f t="shared" si="8"/>
        <v>304.39999999999998</v>
      </c>
      <c r="AA18" s="46">
        <f t="shared" si="8"/>
        <v>360</v>
      </c>
      <c r="AB18" s="46">
        <f t="shared" si="8"/>
        <v>326.60000000000002</v>
      </c>
      <c r="AC18" s="46">
        <f t="shared" si="8"/>
        <v>482.2</v>
      </c>
      <c r="AD18" s="46">
        <f t="shared" si="8"/>
        <v>666.6</v>
      </c>
      <c r="AE18" s="159">
        <f>AE20</f>
        <v>227.7</v>
      </c>
      <c r="AF18" s="160">
        <f t="shared" ref="AF18" si="54">AE18/C18</f>
        <v>28.462499999999999</v>
      </c>
      <c r="AG18" s="161">
        <f t="shared" si="10"/>
        <v>375.7</v>
      </c>
      <c r="AH18" s="161">
        <f t="shared" si="10"/>
        <v>478.2</v>
      </c>
      <c r="AI18" s="161">
        <f t="shared" si="10"/>
        <v>683.1</v>
      </c>
      <c r="AJ18" s="207">
        <v>245.2</v>
      </c>
      <c r="AK18" s="208">
        <f t="shared" ref="AK18" si="55">AJ18/$C18</f>
        <v>30.65</v>
      </c>
      <c r="AL18" s="207">
        <v>1016.1</v>
      </c>
      <c r="AM18" s="208">
        <f t="shared" ref="AM18" si="56">AL18/$C18</f>
        <v>127.0125</v>
      </c>
      <c r="AN18" s="44">
        <v>0</v>
      </c>
      <c r="AO18" s="115">
        <f t="shared" si="17"/>
        <v>0</v>
      </c>
      <c r="AP18" s="46">
        <f t="shared" si="11"/>
        <v>0</v>
      </c>
      <c r="AQ18" s="139">
        <f>ROUNDDOWN(C18*AR18,1)</f>
        <v>223.5</v>
      </c>
      <c r="AR18" s="115">
        <f>AR$11</f>
        <v>27.939393939393938</v>
      </c>
      <c r="AS18" s="46">
        <f t="shared" si="21"/>
        <v>290.5</v>
      </c>
      <c r="AT18" s="46">
        <f t="shared" si="18"/>
        <v>324</v>
      </c>
      <c r="AU18" s="159">
        <v>230.8</v>
      </c>
      <c r="AV18" s="115">
        <f t="shared" ref="AV18" si="57">AU18/$C18</f>
        <v>28.85</v>
      </c>
      <c r="AW18" s="118">
        <v>233.4</v>
      </c>
      <c r="AX18" s="115">
        <f t="shared" si="20"/>
        <v>29.175000000000001</v>
      </c>
      <c r="AY18" s="159"/>
      <c r="AZ18" s="115">
        <f t="shared" ref="AZ18" si="58">AY18/$C18</f>
        <v>0</v>
      </c>
      <c r="BA18" s="139">
        <f t="shared" ref="BA18" si="59">ROUNDDOWN(C18*BB18,1)</f>
        <v>227</v>
      </c>
      <c r="BB18" s="115">
        <f>RCFs!I$41</f>
        <v>28.387</v>
      </c>
    </row>
    <row r="19" spans="1:54" x14ac:dyDescent="0.2">
      <c r="A19" s="49" t="s">
        <v>9</v>
      </c>
      <c r="B19" s="238" t="s">
        <v>10</v>
      </c>
      <c r="C19" s="234">
        <v>6</v>
      </c>
      <c r="D19" s="44">
        <f t="shared" si="0"/>
        <v>408.9</v>
      </c>
      <c r="E19" s="113">
        <f>RCFs!$C$43</f>
        <v>68.141894999999991</v>
      </c>
      <c r="F19" s="117">
        <f t="shared" si="1"/>
        <v>159.9</v>
      </c>
      <c r="G19" s="113">
        <f t="shared" si="2"/>
        <v>26.650000000000002</v>
      </c>
      <c r="H19" s="117">
        <v>166.2</v>
      </c>
      <c r="I19" s="113">
        <f t="shared" si="3"/>
        <v>27.7</v>
      </c>
      <c r="J19" s="46">
        <f t="shared" si="4"/>
        <v>182.8</v>
      </c>
      <c r="K19" s="46">
        <f t="shared" si="4"/>
        <v>227.7</v>
      </c>
      <c r="L19" s="46">
        <f t="shared" si="4"/>
        <v>244.3</v>
      </c>
      <c r="M19" s="46">
        <f t="shared" si="4"/>
        <v>269.2</v>
      </c>
      <c r="N19" s="46">
        <f t="shared" si="4"/>
        <v>332.4</v>
      </c>
      <c r="O19" s="46">
        <f t="shared" si="4"/>
        <v>357.3</v>
      </c>
      <c r="P19" s="46">
        <f t="shared" si="4"/>
        <v>498.6</v>
      </c>
      <c r="Q19" s="240">
        <f>ROUNDDOWN(R19*C19,1)</f>
        <v>171</v>
      </c>
      <c r="R19" s="241">
        <f>R12</f>
        <v>28.513333333333332</v>
      </c>
      <c r="S19" s="46">
        <f t="shared" si="14"/>
        <v>222.3</v>
      </c>
      <c r="T19" s="46">
        <f t="shared" si="14"/>
        <v>256.5</v>
      </c>
      <c r="U19" s="118">
        <v>156.5</v>
      </c>
      <c r="V19" s="42">
        <f t="shared" si="6"/>
        <v>26.083333333333332</v>
      </c>
      <c r="W19" s="118">
        <v>166.7</v>
      </c>
      <c r="X19" s="42">
        <f t="shared" si="7"/>
        <v>27.783333333333331</v>
      </c>
      <c r="Y19" s="46">
        <f t="shared" si="8"/>
        <v>183.4</v>
      </c>
      <c r="Z19" s="46">
        <f t="shared" si="8"/>
        <v>228.4</v>
      </c>
      <c r="AA19" s="46">
        <f t="shared" si="8"/>
        <v>270.10000000000002</v>
      </c>
      <c r="AB19" s="46">
        <f t="shared" si="8"/>
        <v>245</v>
      </c>
      <c r="AC19" s="46">
        <f t="shared" si="8"/>
        <v>361.7</v>
      </c>
      <c r="AD19" s="46">
        <f t="shared" si="8"/>
        <v>500.1</v>
      </c>
      <c r="AE19" s="44">
        <f>ROUNDDOWN(AF19*C19,1)</f>
        <v>170.8</v>
      </c>
      <c r="AF19" s="115">
        <f>AF17</f>
        <v>28.466666666666665</v>
      </c>
      <c r="AG19" s="46">
        <f t="shared" si="10"/>
        <v>281.8</v>
      </c>
      <c r="AH19" s="46">
        <f t="shared" si="10"/>
        <v>358.7</v>
      </c>
      <c r="AI19" s="46">
        <f t="shared" si="10"/>
        <v>512.4</v>
      </c>
      <c r="AJ19" s="118">
        <v>491.9</v>
      </c>
      <c r="AK19" s="42">
        <f t="shared" si="15"/>
        <v>81.983333333333334</v>
      </c>
      <c r="AL19" s="118">
        <v>225.8</v>
      </c>
      <c r="AM19" s="42">
        <f t="shared" si="16"/>
        <v>37.633333333333333</v>
      </c>
      <c r="AN19" s="44">
        <v>179.6</v>
      </c>
      <c r="AO19" s="115">
        <f t="shared" si="17"/>
        <v>29.933333333333334</v>
      </c>
      <c r="AP19" s="46">
        <f t="shared" si="11"/>
        <v>269.39999999999998</v>
      </c>
      <c r="AQ19" s="139">
        <f>ROUNDDOWN(AR19*C19,1)</f>
        <v>167.6</v>
      </c>
      <c r="AR19" s="115">
        <f>AR$11</f>
        <v>27.939393939393938</v>
      </c>
      <c r="AS19" s="46">
        <f t="shared" si="21"/>
        <v>217.8</v>
      </c>
      <c r="AT19" s="46">
        <f t="shared" si="18"/>
        <v>243</v>
      </c>
      <c r="AU19" s="44">
        <v>173.3</v>
      </c>
      <c r="AV19" s="115">
        <f t="shared" si="19"/>
        <v>28.883333333333336</v>
      </c>
      <c r="AW19" s="118">
        <v>175</v>
      </c>
      <c r="AX19" s="115">
        <f t="shared" si="20"/>
        <v>29.166666666666668</v>
      </c>
      <c r="AY19" s="44"/>
      <c r="AZ19" s="115">
        <f t="shared" si="19"/>
        <v>0</v>
      </c>
      <c r="BA19" s="139">
        <f t="shared" si="13"/>
        <v>170.3</v>
      </c>
      <c r="BB19" s="115">
        <f>RCFs!I$41</f>
        <v>28.387</v>
      </c>
    </row>
    <row r="20" spans="1:54" x14ac:dyDescent="0.2">
      <c r="A20" s="49" t="s">
        <v>11</v>
      </c>
      <c r="B20" s="238" t="s">
        <v>217</v>
      </c>
      <c r="C20" s="234">
        <v>8</v>
      </c>
      <c r="D20" s="44">
        <f t="shared" si="0"/>
        <v>545.1</v>
      </c>
      <c r="E20" s="113">
        <f>RCFs!$C$43</f>
        <v>68.141894999999991</v>
      </c>
      <c r="F20" s="117">
        <f t="shared" si="1"/>
        <v>213</v>
      </c>
      <c r="G20" s="113">
        <f t="shared" si="2"/>
        <v>26.625</v>
      </c>
      <c r="H20" s="117">
        <v>221.4</v>
      </c>
      <c r="I20" s="113">
        <f t="shared" si="3"/>
        <v>27.675000000000001</v>
      </c>
      <c r="J20" s="46">
        <f t="shared" si="4"/>
        <v>243.5</v>
      </c>
      <c r="K20" s="46">
        <f t="shared" si="4"/>
        <v>303.3</v>
      </c>
      <c r="L20" s="46">
        <f t="shared" si="4"/>
        <v>325.5</v>
      </c>
      <c r="M20" s="46">
        <f t="shared" si="4"/>
        <v>358.7</v>
      </c>
      <c r="N20" s="46">
        <f t="shared" si="4"/>
        <v>442.8</v>
      </c>
      <c r="O20" s="46">
        <f t="shared" si="4"/>
        <v>476</v>
      </c>
      <c r="P20" s="46">
        <f t="shared" si="4"/>
        <v>664.2</v>
      </c>
      <c r="Q20" s="240">
        <f>ROUNDDOWN(R20*C20,1)</f>
        <v>228.1</v>
      </c>
      <c r="R20" s="241">
        <f>R19</f>
        <v>28.513333333333332</v>
      </c>
      <c r="S20" s="46">
        <f t="shared" si="14"/>
        <v>296.5</v>
      </c>
      <c r="T20" s="46">
        <f t="shared" si="14"/>
        <v>342.1</v>
      </c>
      <c r="U20" s="118">
        <v>208.7</v>
      </c>
      <c r="V20" s="42">
        <f t="shared" si="6"/>
        <v>26.087499999999999</v>
      </c>
      <c r="W20" s="118">
        <v>222.2</v>
      </c>
      <c r="X20" s="42">
        <f t="shared" si="7"/>
        <v>27.774999999999999</v>
      </c>
      <c r="Y20" s="46">
        <f t="shared" ref="Y20:Y30" si="60">ROUND($C20*$X20*Y$6,1)</f>
        <v>244.4</v>
      </c>
      <c r="Z20" s="46">
        <v>0</v>
      </c>
      <c r="AA20" s="46">
        <f t="shared" ref="AA20:AD23" si="61">ROUND($C20*$X20*AA$6,1)</f>
        <v>360</v>
      </c>
      <c r="AB20" s="46">
        <f t="shared" si="61"/>
        <v>326.60000000000002</v>
      </c>
      <c r="AC20" s="46">
        <f t="shared" si="61"/>
        <v>482.2</v>
      </c>
      <c r="AD20" s="46">
        <f t="shared" si="61"/>
        <v>666.6</v>
      </c>
      <c r="AE20" s="44">
        <f>ROUNDDOWN(AF20*C20,1)</f>
        <v>227.7</v>
      </c>
      <c r="AF20" s="115">
        <f>AF19</f>
        <v>28.466666666666665</v>
      </c>
      <c r="AG20" s="46">
        <f t="shared" si="10"/>
        <v>375.7</v>
      </c>
      <c r="AH20" s="46">
        <f t="shared" si="10"/>
        <v>478.2</v>
      </c>
      <c r="AI20" s="46">
        <f t="shared" si="10"/>
        <v>683.1</v>
      </c>
      <c r="AJ20" s="118">
        <v>163.6</v>
      </c>
      <c r="AK20" s="42">
        <f t="shared" si="15"/>
        <v>20.45</v>
      </c>
      <c r="AL20" s="118">
        <v>300.60000000000002</v>
      </c>
      <c r="AM20" s="42">
        <f t="shared" si="16"/>
        <v>37.575000000000003</v>
      </c>
      <c r="AN20" s="44">
        <v>239.5</v>
      </c>
      <c r="AO20" s="115">
        <f t="shared" si="17"/>
        <v>29.9375</v>
      </c>
      <c r="AP20" s="46">
        <f t="shared" si="11"/>
        <v>359.2</v>
      </c>
      <c r="AQ20" s="139">
        <f>ROUNDDOWN(AR20*C20,1)</f>
        <v>223.5</v>
      </c>
      <c r="AR20" s="115">
        <f>AR$11</f>
        <v>27.939393939393938</v>
      </c>
      <c r="AS20" s="46">
        <f t="shared" si="21"/>
        <v>290.5</v>
      </c>
      <c r="AT20" s="46">
        <f t="shared" si="18"/>
        <v>324</v>
      </c>
      <c r="AU20" s="44">
        <v>230.8</v>
      </c>
      <c r="AV20" s="115">
        <f t="shared" si="19"/>
        <v>28.85</v>
      </c>
      <c r="AW20" s="118">
        <v>233.4</v>
      </c>
      <c r="AX20" s="115">
        <f t="shared" si="20"/>
        <v>29.175000000000001</v>
      </c>
      <c r="AY20" s="44"/>
      <c r="AZ20" s="115">
        <f t="shared" si="19"/>
        <v>0</v>
      </c>
      <c r="BA20" s="139">
        <f t="shared" si="13"/>
        <v>227</v>
      </c>
      <c r="BB20" s="115">
        <f>RCFs!I$41</f>
        <v>28.387</v>
      </c>
    </row>
    <row r="21" spans="1:54" x14ac:dyDescent="0.2">
      <c r="A21" s="49" t="s">
        <v>12</v>
      </c>
      <c r="B21" s="238" t="s">
        <v>218</v>
      </c>
      <c r="C21" s="234">
        <v>14</v>
      </c>
      <c r="D21" s="44">
        <f t="shared" si="0"/>
        <v>954</v>
      </c>
      <c r="E21" s="113">
        <f>RCFs!$C$43</f>
        <v>68.141894999999991</v>
      </c>
      <c r="F21" s="117">
        <f t="shared" si="1"/>
        <v>373.3</v>
      </c>
      <c r="G21" s="113">
        <f t="shared" si="2"/>
        <v>26.664285714285715</v>
      </c>
      <c r="H21" s="117">
        <v>387.9</v>
      </c>
      <c r="I21" s="113">
        <f t="shared" si="3"/>
        <v>27.707142857142856</v>
      </c>
      <c r="J21" s="46">
        <f t="shared" si="4"/>
        <v>426.7</v>
      </c>
      <c r="K21" s="46">
        <f t="shared" si="4"/>
        <v>531.4</v>
      </c>
      <c r="L21" s="46">
        <f t="shared" si="4"/>
        <v>570.20000000000005</v>
      </c>
      <c r="M21" s="46">
        <f t="shared" si="4"/>
        <v>628.4</v>
      </c>
      <c r="N21" s="46">
        <f t="shared" si="4"/>
        <v>775.8</v>
      </c>
      <c r="O21" s="46">
        <f t="shared" si="4"/>
        <v>834</v>
      </c>
      <c r="P21" s="46">
        <f t="shared" si="4"/>
        <v>1163.7</v>
      </c>
      <c r="Q21" s="240">
        <f>ROUNDDOWN(R21*C21,1)</f>
        <v>399.1</v>
      </c>
      <c r="R21" s="241">
        <f>R20</f>
        <v>28.513333333333332</v>
      </c>
      <c r="S21" s="46">
        <f t="shared" si="14"/>
        <v>518.79999999999995</v>
      </c>
      <c r="T21" s="46">
        <f t="shared" si="14"/>
        <v>598.6</v>
      </c>
      <c r="U21" s="118">
        <v>365.4</v>
      </c>
      <c r="V21" s="42">
        <f t="shared" si="6"/>
        <v>26.099999999999998</v>
      </c>
      <c r="W21" s="118">
        <v>389.2</v>
      </c>
      <c r="X21" s="42">
        <f t="shared" si="7"/>
        <v>27.8</v>
      </c>
      <c r="Y21" s="46">
        <f t="shared" si="60"/>
        <v>428.1</v>
      </c>
      <c r="Z21" s="46">
        <f t="shared" ref="Z21:Z26" si="62">ROUND($C21*$X21*Z$6,1)</f>
        <v>533.20000000000005</v>
      </c>
      <c r="AA21" s="46">
        <f t="shared" si="61"/>
        <v>630.5</v>
      </c>
      <c r="AB21" s="46">
        <f t="shared" si="61"/>
        <v>572.1</v>
      </c>
      <c r="AC21" s="46">
        <f t="shared" si="61"/>
        <v>844.6</v>
      </c>
      <c r="AD21" s="46">
        <f t="shared" si="61"/>
        <v>1167.5999999999999</v>
      </c>
      <c r="AE21" s="44">
        <f>ROUNDDOWN(AF21*C21,1)</f>
        <v>398.5</v>
      </c>
      <c r="AF21" s="115">
        <f>AF20</f>
        <v>28.466666666666665</v>
      </c>
      <c r="AG21" s="46">
        <f t="shared" si="10"/>
        <v>657.5</v>
      </c>
      <c r="AH21" s="46">
        <f t="shared" si="10"/>
        <v>836.9</v>
      </c>
      <c r="AI21" s="46">
        <f t="shared" si="10"/>
        <v>1195.5</v>
      </c>
      <c r="AJ21" s="118">
        <v>218</v>
      </c>
      <c r="AK21" s="42">
        <f t="shared" si="15"/>
        <v>15.571428571428571</v>
      </c>
      <c r="AL21" s="118">
        <v>526.29999999999995</v>
      </c>
      <c r="AM21" s="42">
        <f t="shared" si="16"/>
        <v>37.592857142857142</v>
      </c>
      <c r="AN21" s="44">
        <v>418.7</v>
      </c>
      <c r="AO21" s="115">
        <f t="shared" si="17"/>
        <v>29.907142857142855</v>
      </c>
      <c r="AP21" s="46">
        <f t="shared" si="11"/>
        <v>628</v>
      </c>
      <c r="AQ21" s="139">
        <f>ROUNDDOWN(AR21*C21,1)</f>
        <v>391.1</v>
      </c>
      <c r="AR21" s="115">
        <f>AR$11</f>
        <v>27.939393939393938</v>
      </c>
      <c r="AS21" s="46">
        <f t="shared" si="21"/>
        <v>508.4</v>
      </c>
      <c r="AT21" s="46">
        <f t="shared" si="18"/>
        <v>567</v>
      </c>
      <c r="AU21" s="44">
        <v>404</v>
      </c>
      <c r="AV21" s="115">
        <f t="shared" si="19"/>
        <v>28.857142857142858</v>
      </c>
      <c r="AW21" s="118">
        <v>408.4</v>
      </c>
      <c r="AX21" s="115">
        <f t="shared" si="20"/>
        <v>29.171428571428571</v>
      </c>
      <c r="AY21" s="44"/>
      <c r="AZ21" s="115">
        <f t="shared" si="19"/>
        <v>0</v>
      </c>
      <c r="BA21" s="139">
        <f>ROUNDDOWN(C21*BB21,1)</f>
        <v>0</v>
      </c>
      <c r="BB21" s="115">
        <f>RCFs!L$41</f>
        <v>0</v>
      </c>
    </row>
    <row r="22" spans="1:54" x14ac:dyDescent="0.2">
      <c r="A22" s="49" t="s">
        <v>20</v>
      </c>
      <c r="B22" s="48" t="s">
        <v>28</v>
      </c>
      <c r="C22" s="44">
        <v>0</v>
      </c>
      <c r="D22" s="44">
        <f t="shared" si="0"/>
        <v>0</v>
      </c>
      <c r="E22" s="113">
        <v>0</v>
      </c>
      <c r="F22" s="117">
        <f t="shared" si="1"/>
        <v>0</v>
      </c>
      <c r="G22" s="113">
        <v>0</v>
      </c>
      <c r="H22" s="117">
        <v>0</v>
      </c>
      <c r="I22" s="113">
        <v>0</v>
      </c>
      <c r="J22" s="46">
        <f t="shared" si="4"/>
        <v>0</v>
      </c>
      <c r="K22" s="46">
        <f t="shared" si="4"/>
        <v>0</v>
      </c>
      <c r="L22" s="46">
        <f t="shared" si="4"/>
        <v>0</v>
      </c>
      <c r="M22" s="46">
        <f t="shared" si="4"/>
        <v>0</v>
      </c>
      <c r="N22" s="46">
        <f t="shared" si="4"/>
        <v>0</v>
      </c>
      <c r="O22" s="46">
        <f t="shared" si="4"/>
        <v>0</v>
      </c>
      <c r="P22" s="46">
        <f t="shared" si="4"/>
        <v>0</v>
      </c>
      <c r="Q22" s="117">
        <v>0</v>
      </c>
      <c r="R22" s="113">
        <v>0</v>
      </c>
      <c r="S22" s="46">
        <f t="shared" si="14"/>
        <v>0</v>
      </c>
      <c r="T22" s="46">
        <f t="shared" si="14"/>
        <v>0</v>
      </c>
      <c r="U22" s="118">
        <v>0</v>
      </c>
      <c r="V22" s="42">
        <v>0</v>
      </c>
      <c r="W22" s="118">
        <v>0</v>
      </c>
      <c r="X22" s="42">
        <v>0</v>
      </c>
      <c r="Y22" s="46">
        <f t="shared" si="60"/>
        <v>0</v>
      </c>
      <c r="Z22" s="46">
        <f t="shared" si="62"/>
        <v>0</v>
      </c>
      <c r="AA22" s="46">
        <f t="shared" si="61"/>
        <v>0</v>
      </c>
      <c r="AB22" s="46">
        <f t="shared" si="61"/>
        <v>0</v>
      </c>
      <c r="AC22" s="46">
        <f t="shared" si="61"/>
        <v>0</v>
      </c>
      <c r="AD22" s="46">
        <f t="shared" si="61"/>
        <v>0</v>
      </c>
      <c r="AE22" s="44">
        <v>0</v>
      </c>
      <c r="AF22" s="115">
        <v>0</v>
      </c>
      <c r="AG22" s="46">
        <f t="shared" si="10"/>
        <v>0</v>
      </c>
      <c r="AH22" s="46">
        <f t="shared" si="10"/>
        <v>0</v>
      </c>
      <c r="AI22" s="46">
        <f t="shared" si="10"/>
        <v>0</v>
      </c>
      <c r="AJ22" s="118">
        <v>381.5</v>
      </c>
      <c r="AK22" s="42">
        <v>0</v>
      </c>
      <c r="AL22" s="118">
        <v>0</v>
      </c>
      <c r="AM22" s="42">
        <v>0</v>
      </c>
      <c r="AN22" s="44">
        <v>0</v>
      </c>
      <c r="AO22" s="115">
        <v>0</v>
      </c>
      <c r="AP22" s="46">
        <f t="shared" ref="AP22" si="63">ROUNDDOWN($AN22*AP$6,1)</f>
        <v>0</v>
      </c>
      <c r="AQ22" s="139">
        <f>ROUNDDOWN(AR22*C22,1)</f>
        <v>0</v>
      </c>
      <c r="AR22" s="115">
        <v>0</v>
      </c>
      <c r="AS22" s="46">
        <f t="shared" si="21"/>
        <v>0</v>
      </c>
      <c r="AT22" s="46">
        <f t="shared" si="18"/>
        <v>0</v>
      </c>
      <c r="AU22" s="44">
        <v>260.10000000000002</v>
      </c>
      <c r="AV22" s="115">
        <v>0</v>
      </c>
      <c r="AW22" s="118">
        <v>0</v>
      </c>
      <c r="AX22" s="115">
        <v>0</v>
      </c>
      <c r="AY22" s="44"/>
      <c r="AZ22" s="115">
        <v>0</v>
      </c>
      <c r="BA22" s="139">
        <f>ROUNDDOWN(C22*BB22,1)</f>
        <v>0</v>
      </c>
      <c r="BB22" s="115"/>
    </row>
    <row r="23" spans="1:54" x14ac:dyDescent="0.2">
      <c r="A23" s="49" t="s">
        <v>21</v>
      </c>
      <c r="B23" s="48" t="s">
        <v>29</v>
      </c>
      <c r="C23" s="44">
        <v>0</v>
      </c>
      <c r="D23" s="44">
        <f t="shared" si="0"/>
        <v>0</v>
      </c>
      <c r="E23" s="113">
        <v>0</v>
      </c>
      <c r="F23" s="117">
        <f t="shared" si="1"/>
        <v>0</v>
      </c>
      <c r="G23" s="113">
        <v>0</v>
      </c>
      <c r="H23" s="117">
        <v>0</v>
      </c>
      <c r="I23" s="113"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117">
        <v>0</v>
      </c>
      <c r="R23" s="113">
        <v>0</v>
      </c>
      <c r="S23" s="46">
        <f t="shared" si="14"/>
        <v>0</v>
      </c>
      <c r="T23" s="46">
        <f t="shared" si="14"/>
        <v>0</v>
      </c>
      <c r="U23" s="118">
        <v>0</v>
      </c>
      <c r="V23" s="42">
        <v>0</v>
      </c>
      <c r="W23" s="118">
        <v>0</v>
      </c>
      <c r="X23" s="42">
        <v>0</v>
      </c>
      <c r="Y23" s="46">
        <f t="shared" si="60"/>
        <v>0</v>
      </c>
      <c r="Z23" s="46">
        <f t="shared" si="62"/>
        <v>0</v>
      </c>
      <c r="AA23" s="46">
        <f t="shared" si="61"/>
        <v>0</v>
      </c>
      <c r="AB23" s="46">
        <f t="shared" si="61"/>
        <v>0</v>
      </c>
      <c r="AC23" s="46">
        <f t="shared" si="61"/>
        <v>0</v>
      </c>
      <c r="AD23" s="46">
        <f t="shared" si="61"/>
        <v>0</v>
      </c>
      <c r="AE23" s="44">
        <v>0</v>
      </c>
      <c r="AF23" s="115">
        <v>0</v>
      </c>
      <c r="AG23" s="46">
        <f t="shared" si="10"/>
        <v>0</v>
      </c>
      <c r="AH23" s="46">
        <f t="shared" si="10"/>
        <v>0</v>
      </c>
      <c r="AI23" s="46">
        <f t="shared" si="10"/>
        <v>0</v>
      </c>
      <c r="AJ23" s="118">
        <v>0</v>
      </c>
      <c r="AK23" s="42">
        <v>0</v>
      </c>
      <c r="AL23" s="118">
        <v>165</v>
      </c>
      <c r="AM23" s="42">
        <v>0</v>
      </c>
      <c r="AN23" s="44">
        <v>0</v>
      </c>
      <c r="AO23" s="115">
        <v>0</v>
      </c>
      <c r="AP23" s="46">
        <f t="shared" si="11"/>
        <v>0</v>
      </c>
      <c r="AQ23" s="44">
        <v>0</v>
      </c>
      <c r="AR23" s="115">
        <v>0</v>
      </c>
      <c r="AS23" s="46">
        <f t="shared" si="21"/>
        <v>0</v>
      </c>
      <c r="AT23" s="46">
        <f t="shared" si="18"/>
        <v>0</v>
      </c>
      <c r="AU23" s="44">
        <v>0</v>
      </c>
      <c r="AV23" s="115">
        <v>0</v>
      </c>
      <c r="AW23" s="118">
        <v>0</v>
      </c>
      <c r="AX23" s="115">
        <v>0</v>
      </c>
      <c r="AY23" s="44"/>
      <c r="AZ23" s="115">
        <v>0</v>
      </c>
      <c r="BA23" s="139">
        <f>ROUNDDOWN(C23*BB23,1)</f>
        <v>0</v>
      </c>
      <c r="BB23" s="115"/>
    </row>
    <row r="24" spans="1:54" x14ac:dyDescent="0.2">
      <c r="A24" s="49" t="s">
        <v>22</v>
      </c>
      <c r="B24" s="48" t="s">
        <v>85</v>
      </c>
      <c r="C24" s="44">
        <v>15</v>
      </c>
      <c r="D24" s="44">
        <f t="shared" si="0"/>
        <v>1022.1</v>
      </c>
      <c r="E24" s="113">
        <f>RCFs!$C$43</f>
        <v>68.141894999999991</v>
      </c>
      <c r="F24" s="117">
        <f t="shared" si="1"/>
        <v>480</v>
      </c>
      <c r="G24" s="113">
        <f t="shared" ref="G24:G31" si="64">F24/C24</f>
        <v>32</v>
      </c>
      <c r="H24" s="117">
        <v>498.8</v>
      </c>
      <c r="I24" s="113">
        <f t="shared" ref="I24:I31" si="65">H24/C24</f>
        <v>33.253333333333337</v>
      </c>
      <c r="J24" s="46">
        <f t="shared" ref="J24:P31" si="66">ROUND($C24*$I24*J$6,1)</f>
        <v>548.70000000000005</v>
      </c>
      <c r="K24" s="46">
        <f t="shared" si="66"/>
        <v>683.4</v>
      </c>
      <c r="L24" s="46">
        <f t="shared" si="66"/>
        <v>733.2</v>
      </c>
      <c r="M24" s="46">
        <f t="shared" si="66"/>
        <v>808.1</v>
      </c>
      <c r="N24" s="46">
        <f t="shared" si="66"/>
        <v>997.6</v>
      </c>
      <c r="O24" s="46">
        <f t="shared" si="66"/>
        <v>1072.4000000000001</v>
      </c>
      <c r="P24" s="46">
        <f t="shared" si="66"/>
        <v>1496.4</v>
      </c>
      <c r="Q24" s="117">
        <v>513.1</v>
      </c>
      <c r="R24" s="113">
        <f t="shared" ref="R24:R31" si="67">Q24/C24</f>
        <v>34.206666666666671</v>
      </c>
      <c r="S24" s="46">
        <f t="shared" si="14"/>
        <v>667</v>
      </c>
      <c r="T24" s="46">
        <f t="shared" si="14"/>
        <v>769.6</v>
      </c>
      <c r="U24" s="118">
        <v>469.6</v>
      </c>
      <c r="V24" s="42">
        <f t="shared" ref="V24:V31" si="68">U24/C24</f>
        <v>31.306666666666668</v>
      </c>
      <c r="W24" s="118">
        <v>500.2</v>
      </c>
      <c r="X24" s="42">
        <f t="shared" ref="X24:X31" si="69">W24/C24</f>
        <v>33.346666666666664</v>
      </c>
      <c r="Y24" s="46">
        <f t="shared" si="60"/>
        <v>550.20000000000005</v>
      </c>
      <c r="Z24" s="46">
        <f t="shared" si="62"/>
        <v>685.3</v>
      </c>
      <c r="AA24" s="46">
        <v>0</v>
      </c>
      <c r="AB24" s="46">
        <f t="shared" ref="AB24:AD30" si="70">ROUND($C24*$X24*AB$6,1)</f>
        <v>735.3</v>
      </c>
      <c r="AC24" s="46">
        <f t="shared" si="70"/>
        <v>1085.4000000000001</v>
      </c>
      <c r="AD24" s="46">
        <f t="shared" si="70"/>
        <v>1500.6</v>
      </c>
      <c r="AE24" s="44">
        <v>512.70000000000005</v>
      </c>
      <c r="AF24" s="115">
        <f t="shared" ref="AF24:AF31" si="71">AE24/C24</f>
        <v>34.18</v>
      </c>
      <c r="AG24" s="46">
        <f t="shared" si="10"/>
        <v>846</v>
      </c>
      <c r="AH24" s="46">
        <f t="shared" si="10"/>
        <v>1076.7</v>
      </c>
      <c r="AI24" s="46">
        <f t="shared" si="10"/>
        <v>1538.1</v>
      </c>
      <c r="AJ24" s="118">
        <v>119.5</v>
      </c>
      <c r="AK24" s="42">
        <f t="shared" si="15"/>
        <v>7.9666666666666668</v>
      </c>
      <c r="AL24" s="118">
        <v>659.8</v>
      </c>
      <c r="AM24" s="42">
        <f t="shared" si="16"/>
        <v>43.986666666666665</v>
      </c>
      <c r="AN24" s="44">
        <v>538.29999999999995</v>
      </c>
      <c r="AO24" s="115">
        <f t="shared" si="17"/>
        <v>35.886666666666663</v>
      </c>
      <c r="AP24" s="46">
        <f t="shared" si="11"/>
        <v>807.4</v>
      </c>
      <c r="AQ24" s="44">
        <v>503</v>
      </c>
      <c r="AR24" s="115">
        <f t="shared" ref="AR24:AR31" si="72">AQ24/C24</f>
        <v>33.533333333333331</v>
      </c>
      <c r="AS24" s="46">
        <f t="shared" si="21"/>
        <v>653.9</v>
      </c>
      <c r="AT24" s="46">
        <f t="shared" si="18"/>
        <v>729.3</v>
      </c>
      <c r="AU24" s="44">
        <v>519.5</v>
      </c>
      <c r="AV24" s="115">
        <f t="shared" si="19"/>
        <v>34.633333333333333</v>
      </c>
      <c r="AW24" s="118">
        <v>525.1</v>
      </c>
      <c r="AX24" s="115">
        <f t="shared" si="20"/>
        <v>35.006666666666668</v>
      </c>
      <c r="AY24" s="44"/>
      <c r="AZ24" s="115">
        <f t="shared" si="19"/>
        <v>0</v>
      </c>
      <c r="BA24" s="118">
        <v>737.9</v>
      </c>
      <c r="BB24" s="115">
        <f t="shared" ref="BB24" si="73">BA24/$C24</f>
        <v>49.193333333333335</v>
      </c>
    </row>
    <row r="25" spans="1:54" x14ac:dyDescent="0.2">
      <c r="A25" s="49" t="s">
        <v>23</v>
      </c>
      <c r="B25" s="48" t="s">
        <v>85</v>
      </c>
      <c r="C25" s="44">
        <v>30</v>
      </c>
      <c r="D25" s="44">
        <f t="shared" si="0"/>
        <v>2044.3</v>
      </c>
      <c r="E25" s="113">
        <f>RCFs!$C$43</f>
        <v>68.141894999999991</v>
      </c>
      <c r="F25" s="117">
        <f t="shared" si="1"/>
        <v>480</v>
      </c>
      <c r="G25" s="113">
        <f t="shared" si="64"/>
        <v>16</v>
      </c>
      <c r="H25" s="117">
        <v>498.8</v>
      </c>
      <c r="I25" s="113">
        <f t="shared" si="65"/>
        <v>16.626666666666669</v>
      </c>
      <c r="J25" s="46">
        <f t="shared" si="66"/>
        <v>548.70000000000005</v>
      </c>
      <c r="K25" s="46">
        <f t="shared" si="66"/>
        <v>683.4</v>
      </c>
      <c r="L25" s="46">
        <f t="shared" si="66"/>
        <v>733.2</v>
      </c>
      <c r="M25" s="46">
        <f t="shared" si="66"/>
        <v>808.1</v>
      </c>
      <c r="N25" s="46">
        <f t="shared" si="66"/>
        <v>997.6</v>
      </c>
      <c r="O25" s="46">
        <f t="shared" si="66"/>
        <v>1072.4000000000001</v>
      </c>
      <c r="P25" s="46">
        <f t="shared" si="66"/>
        <v>1496.4</v>
      </c>
      <c r="Q25" s="117">
        <v>513.1</v>
      </c>
      <c r="R25" s="113">
        <f t="shared" si="67"/>
        <v>17.103333333333335</v>
      </c>
      <c r="S25" s="46">
        <f t="shared" si="14"/>
        <v>667</v>
      </c>
      <c r="T25" s="46">
        <f t="shared" si="14"/>
        <v>769.6</v>
      </c>
      <c r="U25" s="118">
        <v>469.6</v>
      </c>
      <c r="V25" s="42">
        <f t="shared" si="68"/>
        <v>15.653333333333334</v>
      </c>
      <c r="W25" s="118">
        <v>500.2</v>
      </c>
      <c r="X25" s="42">
        <f t="shared" si="69"/>
        <v>16.673333333333332</v>
      </c>
      <c r="Y25" s="46">
        <f t="shared" si="60"/>
        <v>550.20000000000005</v>
      </c>
      <c r="Z25" s="46">
        <f t="shared" si="62"/>
        <v>685.3</v>
      </c>
      <c r="AA25" s="46">
        <v>0</v>
      </c>
      <c r="AB25" s="46">
        <f t="shared" si="70"/>
        <v>735.3</v>
      </c>
      <c r="AC25" s="46">
        <f t="shared" si="70"/>
        <v>1085.4000000000001</v>
      </c>
      <c r="AD25" s="46">
        <f t="shared" si="70"/>
        <v>1500.6</v>
      </c>
      <c r="AE25" s="44">
        <v>512.70000000000005</v>
      </c>
      <c r="AF25" s="115">
        <f t="shared" si="71"/>
        <v>17.09</v>
      </c>
      <c r="AG25" s="46">
        <f t="shared" si="10"/>
        <v>846</v>
      </c>
      <c r="AH25" s="46">
        <f t="shared" si="10"/>
        <v>1076.7</v>
      </c>
      <c r="AI25" s="46">
        <f t="shared" si="10"/>
        <v>1538.1</v>
      </c>
      <c r="AJ25" s="118">
        <v>478.4</v>
      </c>
      <c r="AK25" s="42">
        <f t="shared" si="15"/>
        <v>15.946666666666665</v>
      </c>
      <c r="AL25" s="118">
        <v>659.8</v>
      </c>
      <c r="AM25" s="42">
        <f t="shared" si="16"/>
        <v>21.993333333333332</v>
      </c>
      <c r="AN25" s="44">
        <v>538.29999999999995</v>
      </c>
      <c r="AO25" s="115">
        <f t="shared" si="17"/>
        <v>17.943333333333332</v>
      </c>
      <c r="AP25" s="46">
        <f t="shared" si="11"/>
        <v>807.4</v>
      </c>
      <c r="AQ25" s="44">
        <v>503</v>
      </c>
      <c r="AR25" s="115">
        <f t="shared" si="72"/>
        <v>16.766666666666666</v>
      </c>
      <c r="AS25" s="46">
        <f t="shared" si="21"/>
        <v>653.9</v>
      </c>
      <c r="AT25" s="46">
        <f t="shared" si="18"/>
        <v>729.3</v>
      </c>
      <c r="AU25" s="44">
        <v>519.5</v>
      </c>
      <c r="AV25" s="115">
        <f t="shared" si="19"/>
        <v>17.316666666666666</v>
      </c>
      <c r="AW25" s="118">
        <v>525.1</v>
      </c>
      <c r="AX25" s="115">
        <f t="shared" si="20"/>
        <v>17.503333333333334</v>
      </c>
      <c r="AY25" s="44"/>
      <c r="AZ25" s="115">
        <f t="shared" si="19"/>
        <v>0</v>
      </c>
      <c r="BA25" s="118">
        <v>737.9</v>
      </c>
      <c r="BB25" s="115">
        <f t="shared" ref="BB25" si="74">BA25/$C25</f>
        <v>24.596666666666668</v>
      </c>
    </row>
    <row r="26" spans="1:54" x14ac:dyDescent="0.2">
      <c r="A26" s="49" t="s">
        <v>24</v>
      </c>
      <c r="B26" s="48" t="s">
        <v>85</v>
      </c>
      <c r="C26" s="44">
        <v>45</v>
      </c>
      <c r="D26" s="44">
        <f t="shared" si="0"/>
        <v>3066.4</v>
      </c>
      <c r="E26" s="113">
        <f>RCFs!$C$43</f>
        <v>68.141894999999991</v>
      </c>
      <c r="F26" s="117">
        <f t="shared" si="1"/>
        <v>480</v>
      </c>
      <c r="G26" s="113">
        <f t="shared" si="64"/>
        <v>10.666666666666666</v>
      </c>
      <c r="H26" s="117">
        <v>498.8</v>
      </c>
      <c r="I26" s="113">
        <f t="shared" si="65"/>
        <v>11.084444444444445</v>
      </c>
      <c r="J26" s="46">
        <f t="shared" si="66"/>
        <v>548.70000000000005</v>
      </c>
      <c r="K26" s="46">
        <f t="shared" si="66"/>
        <v>683.4</v>
      </c>
      <c r="L26" s="46">
        <f t="shared" si="66"/>
        <v>733.2</v>
      </c>
      <c r="M26" s="46">
        <f t="shared" si="66"/>
        <v>808.1</v>
      </c>
      <c r="N26" s="46">
        <f t="shared" si="66"/>
        <v>997.6</v>
      </c>
      <c r="O26" s="46">
        <f t="shared" si="66"/>
        <v>1072.4000000000001</v>
      </c>
      <c r="P26" s="46">
        <f t="shared" si="66"/>
        <v>1496.4</v>
      </c>
      <c r="Q26" s="117">
        <v>513.1</v>
      </c>
      <c r="R26" s="113">
        <f t="shared" si="67"/>
        <v>11.402222222222223</v>
      </c>
      <c r="S26" s="46">
        <f t="shared" si="14"/>
        <v>667</v>
      </c>
      <c r="T26" s="46">
        <f t="shared" si="14"/>
        <v>769.6</v>
      </c>
      <c r="U26" s="118">
        <v>469.6</v>
      </c>
      <c r="V26" s="42">
        <f t="shared" si="68"/>
        <v>10.435555555555556</v>
      </c>
      <c r="W26" s="118">
        <v>500.2</v>
      </c>
      <c r="X26" s="42">
        <f t="shared" si="69"/>
        <v>11.115555555555556</v>
      </c>
      <c r="Y26" s="46">
        <f t="shared" si="60"/>
        <v>550.20000000000005</v>
      </c>
      <c r="Z26" s="46">
        <f t="shared" si="62"/>
        <v>685.3</v>
      </c>
      <c r="AA26" s="46">
        <v>0</v>
      </c>
      <c r="AB26" s="46">
        <f t="shared" si="70"/>
        <v>735.3</v>
      </c>
      <c r="AC26" s="46">
        <f t="shared" si="70"/>
        <v>1085.4000000000001</v>
      </c>
      <c r="AD26" s="46">
        <f t="shared" si="70"/>
        <v>1500.6</v>
      </c>
      <c r="AE26" s="44">
        <v>512.70000000000005</v>
      </c>
      <c r="AF26" s="115">
        <f t="shared" si="71"/>
        <v>11.393333333333334</v>
      </c>
      <c r="AG26" s="46">
        <f t="shared" si="10"/>
        <v>846</v>
      </c>
      <c r="AH26" s="46">
        <f t="shared" si="10"/>
        <v>1076.7</v>
      </c>
      <c r="AI26" s="46">
        <f t="shared" si="10"/>
        <v>1538.1</v>
      </c>
      <c r="AJ26" s="118">
        <v>478.4</v>
      </c>
      <c r="AK26" s="42">
        <f t="shared" si="15"/>
        <v>10.63111111111111</v>
      </c>
      <c r="AL26" s="118">
        <v>659.8</v>
      </c>
      <c r="AM26" s="42">
        <f t="shared" si="16"/>
        <v>14.662222222222221</v>
      </c>
      <c r="AN26" s="44">
        <v>538.29999999999995</v>
      </c>
      <c r="AO26" s="115">
        <f t="shared" si="17"/>
        <v>11.962222222222222</v>
      </c>
      <c r="AP26" s="46">
        <f t="shared" si="11"/>
        <v>807.4</v>
      </c>
      <c r="AQ26" s="44">
        <v>503</v>
      </c>
      <c r="AR26" s="115">
        <f t="shared" si="72"/>
        <v>11.177777777777777</v>
      </c>
      <c r="AS26" s="46">
        <f t="shared" si="21"/>
        <v>653.9</v>
      </c>
      <c r="AT26" s="46">
        <f t="shared" si="18"/>
        <v>729.3</v>
      </c>
      <c r="AU26" s="44">
        <v>519.5</v>
      </c>
      <c r="AV26" s="115">
        <f t="shared" si="19"/>
        <v>11.544444444444444</v>
      </c>
      <c r="AW26" s="118">
        <v>525.1</v>
      </c>
      <c r="AX26" s="115">
        <f t="shared" si="20"/>
        <v>11.668888888888889</v>
      </c>
      <c r="AY26" s="44"/>
      <c r="AZ26" s="115">
        <f t="shared" si="19"/>
        <v>0</v>
      </c>
      <c r="BA26" s="118">
        <v>737.9</v>
      </c>
      <c r="BB26" s="115">
        <f t="shared" ref="BB26" si="75">BA26/$C26</f>
        <v>16.397777777777776</v>
      </c>
    </row>
    <row r="27" spans="1:54" x14ac:dyDescent="0.2">
      <c r="A27" s="49" t="s">
        <v>17</v>
      </c>
      <c r="B27" s="48" t="s">
        <v>84</v>
      </c>
      <c r="C27" s="44">
        <v>15</v>
      </c>
      <c r="D27" s="44">
        <f t="shared" si="0"/>
        <v>1022.1</v>
      </c>
      <c r="E27" s="113">
        <f>RCFs!$C$43</f>
        <v>68.141894999999991</v>
      </c>
      <c r="F27" s="117">
        <f t="shared" si="1"/>
        <v>480</v>
      </c>
      <c r="G27" s="113">
        <f t="shared" si="64"/>
        <v>32</v>
      </c>
      <c r="H27" s="117">
        <v>498.8</v>
      </c>
      <c r="I27" s="113">
        <f t="shared" si="65"/>
        <v>33.253333333333337</v>
      </c>
      <c r="J27" s="46">
        <f t="shared" si="66"/>
        <v>548.70000000000005</v>
      </c>
      <c r="K27" s="46">
        <f t="shared" si="66"/>
        <v>683.4</v>
      </c>
      <c r="L27" s="46">
        <f t="shared" si="66"/>
        <v>733.2</v>
      </c>
      <c r="M27" s="46">
        <f t="shared" si="66"/>
        <v>808.1</v>
      </c>
      <c r="N27" s="46">
        <f t="shared" si="66"/>
        <v>997.6</v>
      </c>
      <c r="O27" s="46">
        <f t="shared" si="66"/>
        <v>1072.4000000000001</v>
      </c>
      <c r="P27" s="46">
        <f t="shared" si="66"/>
        <v>1496.4</v>
      </c>
      <c r="Q27" s="117">
        <v>513.1</v>
      </c>
      <c r="R27" s="113">
        <f t="shared" si="67"/>
        <v>34.206666666666671</v>
      </c>
      <c r="S27" s="46">
        <f t="shared" si="14"/>
        <v>667</v>
      </c>
      <c r="T27" s="46">
        <f t="shared" si="14"/>
        <v>769.6</v>
      </c>
      <c r="U27" s="118">
        <v>499.4</v>
      </c>
      <c r="V27" s="42">
        <f t="shared" si="68"/>
        <v>33.293333333333329</v>
      </c>
      <c r="W27" s="118">
        <v>531.79999999999995</v>
      </c>
      <c r="X27" s="42">
        <f t="shared" si="69"/>
        <v>35.453333333333333</v>
      </c>
      <c r="Y27" s="46">
        <f t="shared" si="60"/>
        <v>585</v>
      </c>
      <c r="Z27" s="46">
        <v>0</v>
      </c>
      <c r="AA27" s="46">
        <f>ROUND($C27*$X27*AA$6,1)</f>
        <v>861.5</v>
      </c>
      <c r="AB27" s="46">
        <f t="shared" si="70"/>
        <v>781.7</v>
      </c>
      <c r="AC27" s="46">
        <f t="shared" si="70"/>
        <v>1154</v>
      </c>
      <c r="AD27" s="46">
        <f t="shared" si="70"/>
        <v>1595.4</v>
      </c>
      <c r="AE27" s="44">
        <v>512.70000000000005</v>
      </c>
      <c r="AF27" s="115">
        <f t="shared" si="71"/>
        <v>34.18</v>
      </c>
      <c r="AG27" s="46">
        <f t="shared" si="10"/>
        <v>846</v>
      </c>
      <c r="AH27" s="46">
        <f t="shared" si="10"/>
        <v>1076.7</v>
      </c>
      <c r="AI27" s="46">
        <f t="shared" si="10"/>
        <v>1538.1</v>
      </c>
      <c r="AJ27" s="118">
        <v>478.4</v>
      </c>
      <c r="AK27" s="42">
        <f t="shared" si="15"/>
        <v>31.893333333333331</v>
      </c>
      <c r="AL27" s="118">
        <v>685.9</v>
      </c>
      <c r="AM27" s="42">
        <f t="shared" si="16"/>
        <v>45.726666666666667</v>
      </c>
      <c r="AN27" s="44">
        <v>538.29999999999995</v>
      </c>
      <c r="AO27" s="115">
        <f t="shared" si="17"/>
        <v>35.886666666666663</v>
      </c>
      <c r="AP27" s="46">
        <f t="shared" si="11"/>
        <v>807.4</v>
      </c>
      <c r="AQ27" s="44">
        <v>503</v>
      </c>
      <c r="AR27" s="115">
        <f t="shared" si="72"/>
        <v>33.533333333333331</v>
      </c>
      <c r="AS27" s="46">
        <f t="shared" si="21"/>
        <v>653.9</v>
      </c>
      <c r="AT27" s="46">
        <f t="shared" si="18"/>
        <v>729.3</v>
      </c>
      <c r="AU27" s="44">
        <v>568.4</v>
      </c>
      <c r="AV27" s="115">
        <f t="shared" si="19"/>
        <v>37.893333333333331</v>
      </c>
      <c r="AW27" s="118">
        <v>555</v>
      </c>
      <c r="AX27" s="115">
        <f t="shared" si="20"/>
        <v>37</v>
      </c>
      <c r="AY27" s="44"/>
      <c r="AZ27" s="115">
        <f t="shared" si="19"/>
        <v>0</v>
      </c>
      <c r="BA27" s="118">
        <v>737.9</v>
      </c>
      <c r="BB27" s="115">
        <f t="shared" ref="BB27" si="76">BA27/$C27</f>
        <v>49.193333333333335</v>
      </c>
    </row>
    <row r="28" spans="1:54" x14ac:dyDescent="0.2">
      <c r="A28" s="49" t="s">
        <v>18</v>
      </c>
      <c r="B28" s="48" t="s">
        <v>84</v>
      </c>
      <c r="C28" s="44">
        <v>30</v>
      </c>
      <c r="D28" s="44">
        <f t="shared" si="0"/>
        <v>2044.3</v>
      </c>
      <c r="E28" s="113">
        <f>RCFs!$C$43</f>
        <v>68.141894999999991</v>
      </c>
      <c r="F28" s="117">
        <f t="shared" si="1"/>
        <v>480</v>
      </c>
      <c r="G28" s="113">
        <f t="shared" si="64"/>
        <v>16</v>
      </c>
      <c r="H28" s="117">
        <v>498.8</v>
      </c>
      <c r="I28" s="113">
        <f t="shared" si="65"/>
        <v>16.626666666666669</v>
      </c>
      <c r="J28" s="46">
        <f t="shared" si="66"/>
        <v>548.70000000000005</v>
      </c>
      <c r="K28" s="46">
        <f t="shared" si="66"/>
        <v>683.4</v>
      </c>
      <c r="L28" s="46">
        <f t="shared" si="66"/>
        <v>733.2</v>
      </c>
      <c r="M28" s="46">
        <f t="shared" si="66"/>
        <v>808.1</v>
      </c>
      <c r="N28" s="46">
        <f t="shared" si="66"/>
        <v>997.6</v>
      </c>
      <c r="O28" s="46">
        <f t="shared" si="66"/>
        <v>1072.4000000000001</v>
      </c>
      <c r="P28" s="46">
        <f t="shared" si="66"/>
        <v>1496.4</v>
      </c>
      <c r="Q28" s="117">
        <v>513.1</v>
      </c>
      <c r="R28" s="113">
        <f t="shared" si="67"/>
        <v>17.103333333333335</v>
      </c>
      <c r="S28" s="46">
        <f t="shared" si="14"/>
        <v>667</v>
      </c>
      <c r="T28" s="46">
        <f t="shared" si="14"/>
        <v>769.6</v>
      </c>
      <c r="U28" s="118">
        <v>499.4</v>
      </c>
      <c r="V28" s="42">
        <f t="shared" si="68"/>
        <v>16.646666666666665</v>
      </c>
      <c r="W28" s="118">
        <v>531.79999999999995</v>
      </c>
      <c r="X28" s="42">
        <f t="shared" si="69"/>
        <v>17.726666666666667</v>
      </c>
      <c r="Y28" s="46">
        <f t="shared" si="60"/>
        <v>585</v>
      </c>
      <c r="Z28" s="46">
        <v>0</v>
      </c>
      <c r="AA28" s="46">
        <f>ROUND($C28*$X28*AA$6,1)</f>
        <v>861.5</v>
      </c>
      <c r="AB28" s="46">
        <f t="shared" si="70"/>
        <v>781.7</v>
      </c>
      <c r="AC28" s="46">
        <f t="shared" si="70"/>
        <v>1154</v>
      </c>
      <c r="AD28" s="46">
        <f t="shared" si="70"/>
        <v>1595.4</v>
      </c>
      <c r="AE28" s="44">
        <v>512.70000000000005</v>
      </c>
      <c r="AF28" s="115">
        <f t="shared" si="71"/>
        <v>17.09</v>
      </c>
      <c r="AG28" s="46">
        <f t="shared" si="10"/>
        <v>846</v>
      </c>
      <c r="AH28" s="46">
        <f t="shared" si="10"/>
        <v>1076.7</v>
      </c>
      <c r="AI28" s="46">
        <f t="shared" si="10"/>
        <v>1538.1</v>
      </c>
      <c r="AJ28" s="118">
        <v>483</v>
      </c>
      <c r="AK28" s="42">
        <f t="shared" si="15"/>
        <v>16.100000000000001</v>
      </c>
      <c r="AL28" s="118">
        <v>685.9</v>
      </c>
      <c r="AM28" s="42">
        <f t="shared" si="16"/>
        <v>22.863333333333333</v>
      </c>
      <c r="AN28" s="44">
        <v>543.1</v>
      </c>
      <c r="AO28" s="115">
        <f t="shared" si="17"/>
        <v>18.103333333333335</v>
      </c>
      <c r="AP28" s="46">
        <f t="shared" si="11"/>
        <v>814.6</v>
      </c>
      <c r="AQ28" s="44">
        <v>503</v>
      </c>
      <c r="AR28" s="115">
        <f t="shared" si="72"/>
        <v>16.766666666666666</v>
      </c>
      <c r="AS28" s="46">
        <f t="shared" si="21"/>
        <v>653.9</v>
      </c>
      <c r="AT28" s="46">
        <f t="shared" si="18"/>
        <v>729.3</v>
      </c>
      <c r="AU28" s="44">
        <v>568.4</v>
      </c>
      <c r="AV28" s="115">
        <f t="shared" si="19"/>
        <v>18.946666666666665</v>
      </c>
      <c r="AW28" s="118">
        <v>555</v>
      </c>
      <c r="AX28" s="115">
        <f t="shared" si="20"/>
        <v>18.5</v>
      </c>
      <c r="AY28" s="44"/>
      <c r="AZ28" s="115">
        <f t="shared" si="19"/>
        <v>0</v>
      </c>
      <c r="BA28" s="118">
        <v>737.9</v>
      </c>
      <c r="BB28" s="115">
        <f t="shared" ref="BB28" si="77">BA28/$C28</f>
        <v>24.596666666666668</v>
      </c>
    </row>
    <row r="29" spans="1:54" x14ac:dyDescent="0.2">
      <c r="A29" s="49" t="s">
        <v>19</v>
      </c>
      <c r="B29" s="48" t="s">
        <v>84</v>
      </c>
      <c r="C29" s="44">
        <v>45</v>
      </c>
      <c r="D29" s="44">
        <f t="shared" si="0"/>
        <v>3066.4</v>
      </c>
      <c r="E29" s="113">
        <f>RCFs!$C$43</f>
        <v>68.141894999999991</v>
      </c>
      <c r="F29" s="117">
        <f t="shared" si="1"/>
        <v>480</v>
      </c>
      <c r="G29" s="113">
        <f t="shared" si="64"/>
        <v>10.666666666666666</v>
      </c>
      <c r="H29" s="117">
        <v>498.8</v>
      </c>
      <c r="I29" s="113">
        <f t="shared" si="65"/>
        <v>11.084444444444445</v>
      </c>
      <c r="J29" s="46">
        <f t="shared" si="66"/>
        <v>548.70000000000005</v>
      </c>
      <c r="K29" s="46">
        <f t="shared" si="66"/>
        <v>683.4</v>
      </c>
      <c r="L29" s="46">
        <f t="shared" si="66"/>
        <v>733.2</v>
      </c>
      <c r="M29" s="46">
        <f t="shared" si="66"/>
        <v>808.1</v>
      </c>
      <c r="N29" s="46">
        <f t="shared" si="66"/>
        <v>997.6</v>
      </c>
      <c r="O29" s="46">
        <f t="shared" si="66"/>
        <v>1072.4000000000001</v>
      </c>
      <c r="P29" s="46">
        <f t="shared" si="66"/>
        <v>1496.4</v>
      </c>
      <c r="Q29" s="117">
        <v>513.1</v>
      </c>
      <c r="R29" s="113">
        <f t="shared" si="67"/>
        <v>11.402222222222223</v>
      </c>
      <c r="S29" s="46">
        <f t="shared" si="14"/>
        <v>667</v>
      </c>
      <c r="T29" s="46">
        <f t="shared" si="14"/>
        <v>769.6</v>
      </c>
      <c r="U29" s="118">
        <v>499.4</v>
      </c>
      <c r="V29" s="42">
        <f t="shared" si="68"/>
        <v>11.097777777777777</v>
      </c>
      <c r="W29" s="118">
        <v>531.79999999999995</v>
      </c>
      <c r="X29" s="42">
        <f t="shared" si="69"/>
        <v>11.817777777777776</v>
      </c>
      <c r="Y29" s="46">
        <f t="shared" si="60"/>
        <v>585</v>
      </c>
      <c r="Z29" s="46">
        <v>0</v>
      </c>
      <c r="AA29" s="46">
        <f>ROUND($C29*$X29*AA$6,1)</f>
        <v>861.5</v>
      </c>
      <c r="AB29" s="46">
        <f t="shared" si="70"/>
        <v>781.7</v>
      </c>
      <c r="AC29" s="46">
        <f t="shared" si="70"/>
        <v>1154</v>
      </c>
      <c r="AD29" s="46">
        <f t="shared" si="70"/>
        <v>1595.4</v>
      </c>
      <c r="AE29" s="44">
        <v>512.70000000000005</v>
      </c>
      <c r="AF29" s="115">
        <f t="shared" si="71"/>
        <v>11.393333333333334</v>
      </c>
      <c r="AG29" s="46">
        <f t="shared" si="10"/>
        <v>846</v>
      </c>
      <c r="AH29" s="46">
        <f t="shared" si="10"/>
        <v>1076.7</v>
      </c>
      <c r="AI29" s="46">
        <f t="shared" si="10"/>
        <v>1538.1</v>
      </c>
      <c r="AJ29" s="118">
        <v>483</v>
      </c>
      <c r="AK29" s="42">
        <f t="shared" si="15"/>
        <v>10.733333333333333</v>
      </c>
      <c r="AL29" s="118">
        <v>685.9</v>
      </c>
      <c r="AM29" s="42">
        <f t="shared" si="16"/>
        <v>15.242222222222221</v>
      </c>
      <c r="AN29" s="44">
        <v>787.5</v>
      </c>
      <c r="AO29" s="115">
        <f t="shared" si="17"/>
        <v>17.5</v>
      </c>
      <c r="AP29" s="46">
        <f t="shared" si="11"/>
        <v>1181.2</v>
      </c>
      <c r="AQ29" s="44">
        <v>503</v>
      </c>
      <c r="AR29" s="115">
        <f t="shared" si="72"/>
        <v>11.177777777777777</v>
      </c>
      <c r="AS29" s="46">
        <f t="shared" si="21"/>
        <v>653.9</v>
      </c>
      <c r="AT29" s="46">
        <f t="shared" si="18"/>
        <v>729.3</v>
      </c>
      <c r="AU29" s="44">
        <v>568.4</v>
      </c>
      <c r="AV29" s="115">
        <f t="shared" si="19"/>
        <v>12.63111111111111</v>
      </c>
      <c r="AW29" s="118">
        <v>555</v>
      </c>
      <c r="AX29" s="115">
        <f t="shared" si="20"/>
        <v>12.333333333333334</v>
      </c>
      <c r="AY29" s="44"/>
      <c r="AZ29" s="115">
        <f t="shared" si="19"/>
        <v>0</v>
      </c>
      <c r="BA29" s="118">
        <v>737.9</v>
      </c>
      <c r="BB29" s="115">
        <f t="shared" ref="BB29" si="78">BA29/$C29</f>
        <v>16.397777777777776</v>
      </c>
    </row>
    <row r="30" spans="1:54" s="209" customFormat="1" x14ac:dyDescent="0.2">
      <c r="A30" s="205" t="s">
        <v>198</v>
      </c>
      <c r="B30" s="206" t="s">
        <v>84</v>
      </c>
      <c r="C30" s="159">
        <v>63.6</v>
      </c>
      <c r="D30" s="159">
        <f t="shared" ref="D30" si="79">ROUND(E30*C30,1)</f>
        <v>4333.8</v>
      </c>
      <c r="E30" s="160">
        <f>RCFs!$C$43</f>
        <v>68.141894999999991</v>
      </c>
      <c r="F30" s="207">
        <f t="shared" si="1"/>
        <v>480</v>
      </c>
      <c r="G30" s="160">
        <f t="shared" ref="G30" si="80">F30/C30</f>
        <v>7.5471698113207548</v>
      </c>
      <c r="H30" s="207">
        <v>498.8</v>
      </c>
      <c r="I30" s="160">
        <f t="shared" ref="I30" si="81">H30/C30</f>
        <v>7.8427672955974845</v>
      </c>
      <c r="J30" s="161">
        <f t="shared" si="66"/>
        <v>548.70000000000005</v>
      </c>
      <c r="K30" s="161">
        <f t="shared" si="66"/>
        <v>683.4</v>
      </c>
      <c r="L30" s="161">
        <f t="shared" si="66"/>
        <v>733.2</v>
      </c>
      <c r="M30" s="161">
        <f t="shared" si="66"/>
        <v>808.1</v>
      </c>
      <c r="N30" s="161">
        <f t="shared" si="66"/>
        <v>997.6</v>
      </c>
      <c r="O30" s="161">
        <f t="shared" si="66"/>
        <v>1072.4000000000001</v>
      </c>
      <c r="P30" s="161">
        <f t="shared" si="66"/>
        <v>1496.4</v>
      </c>
      <c r="Q30" s="207">
        <v>0</v>
      </c>
      <c r="R30" s="160">
        <f t="shared" ref="R30" si="82">Q30/C30</f>
        <v>0</v>
      </c>
      <c r="S30" s="161">
        <f t="shared" si="14"/>
        <v>0</v>
      </c>
      <c r="T30" s="161">
        <f t="shared" si="14"/>
        <v>0</v>
      </c>
      <c r="U30" s="207">
        <v>499.4</v>
      </c>
      <c r="V30" s="208">
        <f t="shared" ref="V30" si="83">U30/C30</f>
        <v>7.8522012578616343</v>
      </c>
      <c r="W30" s="207">
        <v>531.79999999999995</v>
      </c>
      <c r="X30" s="208">
        <f t="shared" ref="X30" si="84">W30/C30</f>
        <v>8.3616352201257858</v>
      </c>
      <c r="Y30" s="161">
        <f t="shared" si="60"/>
        <v>585</v>
      </c>
      <c r="Z30" s="161">
        <v>0</v>
      </c>
      <c r="AA30" s="161">
        <f>ROUND($C30*$X30*AA$6,1)</f>
        <v>861.5</v>
      </c>
      <c r="AB30" s="161">
        <f t="shared" si="70"/>
        <v>781.7</v>
      </c>
      <c r="AC30" s="161">
        <f t="shared" si="70"/>
        <v>1154</v>
      </c>
      <c r="AD30" s="161">
        <f t="shared" si="70"/>
        <v>1595.4</v>
      </c>
      <c r="AE30" s="159">
        <v>0</v>
      </c>
      <c r="AF30" s="160">
        <f t="shared" ref="AF30" si="85">AE30/C30</f>
        <v>0</v>
      </c>
      <c r="AG30" s="161">
        <f t="shared" si="10"/>
        <v>0</v>
      </c>
      <c r="AH30" s="161">
        <f t="shared" si="10"/>
        <v>0</v>
      </c>
      <c r="AI30" s="161">
        <f t="shared" si="10"/>
        <v>0</v>
      </c>
      <c r="AJ30" s="207">
        <v>483</v>
      </c>
      <c r="AK30" s="208">
        <f t="shared" ref="AK30" si="86">AJ30/$C30</f>
        <v>7.5943396226415096</v>
      </c>
      <c r="AL30" s="207">
        <v>685.9</v>
      </c>
      <c r="AM30" s="208">
        <f t="shared" ref="AM30" si="87">AL30/$C30</f>
        <v>10.784591194968552</v>
      </c>
      <c r="AN30" s="44">
        <v>508.6</v>
      </c>
      <c r="AO30" s="115">
        <f t="shared" si="17"/>
        <v>7.9968553459119498</v>
      </c>
      <c r="AP30" s="161">
        <f t="shared" si="11"/>
        <v>762.9</v>
      </c>
      <c r="AQ30" s="159">
        <v>0</v>
      </c>
      <c r="AR30" s="160">
        <f t="shared" ref="AR30" si="88">AQ30/C30</f>
        <v>0</v>
      </c>
      <c r="AS30" s="161">
        <f t="shared" si="21"/>
        <v>0</v>
      </c>
      <c r="AT30" s="161">
        <f t="shared" si="18"/>
        <v>0</v>
      </c>
      <c r="AU30" s="159">
        <v>568.4</v>
      </c>
      <c r="AV30" s="160">
        <f t="shared" ref="AV30" si="89">AU30/$C30</f>
        <v>8.9371069182389924</v>
      </c>
      <c r="AW30" s="207">
        <v>1855.5</v>
      </c>
      <c r="AX30" s="115">
        <f t="shared" si="20"/>
        <v>29.174528301886792</v>
      </c>
      <c r="AY30" s="159"/>
      <c r="AZ30" s="160">
        <f t="shared" ref="AZ30" si="90">AY30/$C30</f>
        <v>0</v>
      </c>
      <c r="BA30" s="207">
        <v>0</v>
      </c>
      <c r="BB30" s="160">
        <f t="shared" ref="BB30" si="91">BA30/$C30</f>
        <v>0</v>
      </c>
    </row>
    <row r="31" spans="1:54" x14ac:dyDescent="0.2">
      <c r="A31" s="49" t="s">
        <v>13</v>
      </c>
      <c r="B31" s="50" t="s">
        <v>14</v>
      </c>
      <c r="C31" s="44">
        <v>21.43</v>
      </c>
      <c r="D31" s="44">
        <f t="shared" si="0"/>
        <v>1460.3</v>
      </c>
      <c r="E31" s="113">
        <f>RCFs!$C$43</f>
        <v>68.141894999999991</v>
      </c>
      <c r="F31" s="117">
        <f t="shared" si="1"/>
        <v>571.70000000000005</v>
      </c>
      <c r="G31" s="113">
        <f t="shared" si="64"/>
        <v>26.677554829678023</v>
      </c>
      <c r="H31" s="117">
        <v>594.1</v>
      </c>
      <c r="I31" s="113">
        <f t="shared" si="65"/>
        <v>27.722818478768083</v>
      </c>
      <c r="J31" s="46">
        <f t="shared" si="66"/>
        <v>653.5</v>
      </c>
      <c r="K31" s="46">
        <f t="shared" si="66"/>
        <v>813.9</v>
      </c>
      <c r="L31" s="46">
        <f t="shared" si="66"/>
        <v>873.3</v>
      </c>
      <c r="M31" s="46">
        <f t="shared" si="66"/>
        <v>962.4</v>
      </c>
      <c r="N31" s="46">
        <f t="shared" si="66"/>
        <v>1188.2</v>
      </c>
      <c r="O31" s="46">
        <f t="shared" si="66"/>
        <v>1277.3</v>
      </c>
      <c r="P31" s="46">
        <f t="shared" si="66"/>
        <v>1782.3</v>
      </c>
      <c r="Q31" s="118">
        <v>611.20000000000005</v>
      </c>
      <c r="R31" s="113">
        <f t="shared" si="67"/>
        <v>28.520765282314514</v>
      </c>
      <c r="S31" s="46">
        <f t="shared" si="14"/>
        <v>794.5</v>
      </c>
      <c r="T31" s="46">
        <f t="shared" si="14"/>
        <v>916.8</v>
      </c>
      <c r="U31" s="118">
        <v>558.9</v>
      </c>
      <c r="V31" s="42">
        <f t="shared" si="68"/>
        <v>26.080261315912271</v>
      </c>
      <c r="W31" s="118">
        <v>595.29999999999995</v>
      </c>
      <c r="X31" s="42">
        <f t="shared" si="69"/>
        <v>27.778814745683619</v>
      </c>
      <c r="Y31" s="46">
        <f>W31</f>
        <v>595.29999999999995</v>
      </c>
      <c r="Z31" s="46">
        <f>W31</f>
        <v>595.29999999999995</v>
      </c>
      <c r="AA31" s="46">
        <f>Z31</f>
        <v>595.29999999999995</v>
      </c>
      <c r="AB31" s="46">
        <f t="shared" ref="AB31:AD32" si="92">AA31</f>
        <v>595.29999999999995</v>
      </c>
      <c r="AC31" s="46">
        <f t="shared" si="92"/>
        <v>595.29999999999995</v>
      </c>
      <c r="AD31" s="46">
        <f t="shared" si="92"/>
        <v>595.29999999999995</v>
      </c>
      <c r="AE31" s="44">
        <v>610.70000000000005</v>
      </c>
      <c r="AF31" s="115">
        <f t="shared" si="71"/>
        <v>28.49743350443304</v>
      </c>
      <c r="AG31" s="46">
        <f t="shared" si="10"/>
        <v>1007.7</v>
      </c>
      <c r="AH31" s="46">
        <f t="shared" si="10"/>
        <v>1282.5</v>
      </c>
      <c r="AI31" s="46">
        <f t="shared" si="10"/>
        <v>1832.1</v>
      </c>
      <c r="AJ31" s="118">
        <v>483</v>
      </c>
      <c r="AK31" s="42">
        <f t="shared" si="15"/>
        <v>22.538497433504432</v>
      </c>
      <c r="AL31" s="118">
        <v>751.5</v>
      </c>
      <c r="AM31" s="42">
        <f t="shared" si="16"/>
        <v>35.067662155856276</v>
      </c>
      <c r="AN31" s="44">
        <v>640.70000000000005</v>
      </c>
      <c r="AO31" s="115">
        <f t="shared" si="17"/>
        <v>29.897340177321514</v>
      </c>
      <c r="AP31" s="46">
        <f t="shared" si="11"/>
        <v>961</v>
      </c>
      <c r="AQ31" s="44">
        <v>598.70000000000005</v>
      </c>
      <c r="AR31" s="115">
        <f t="shared" si="72"/>
        <v>27.937470835277651</v>
      </c>
      <c r="AS31" s="46">
        <f t="shared" si="21"/>
        <v>778.3</v>
      </c>
      <c r="AT31" s="46">
        <f t="shared" si="18"/>
        <v>868.1</v>
      </c>
      <c r="AU31" s="44">
        <v>519.5</v>
      </c>
      <c r="AV31" s="115">
        <f t="shared" si="19"/>
        <v>24.241717218852077</v>
      </c>
      <c r="AW31" s="118">
        <v>625.20000000000005</v>
      </c>
      <c r="AX31" s="115">
        <f t="shared" si="20"/>
        <v>29.174055062995802</v>
      </c>
      <c r="AY31" s="118"/>
      <c r="AZ31" s="115">
        <f t="shared" si="19"/>
        <v>0</v>
      </c>
      <c r="BA31" s="139">
        <f>ROUNDDOWN(C31*BB31,1)</f>
        <v>608.29999999999995</v>
      </c>
      <c r="BB31" s="115">
        <f>RCFs!I$41</f>
        <v>28.387</v>
      </c>
    </row>
    <row r="32" spans="1:54" s="126" customFormat="1" hidden="1" x14ac:dyDescent="0.2">
      <c r="A32" s="210" t="s">
        <v>200</v>
      </c>
      <c r="B32" s="211" t="s">
        <v>203</v>
      </c>
      <c r="C32" s="212"/>
      <c r="D32" s="212"/>
      <c r="E32" s="213"/>
      <c r="F32" s="214"/>
      <c r="G32" s="213"/>
      <c r="H32" s="214"/>
      <c r="I32" s="213"/>
      <c r="J32" s="215"/>
      <c r="K32" s="215"/>
      <c r="L32" s="215"/>
      <c r="M32" s="215"/>
      <c r="N32" s="215"/>
      <c r="O32" s="215"/>
      <c r="P32" s="215"/>
      <c r="Q32" s="214"/>
      <c r="R32" s="213"/>
      <c r="S32" s="215"/>
      <c r="T32" s="215"/>
      <c r="U32" s="214"/>
      <c r="V32" s="216"/>
      <c r="W32" s="214">
        <v>1353.7</v>
      </c>
      <c r="X32" s="216">
        <v>0</v>
      </c>
      <c r="Y32" s="215">
        <f>W32</f>
        <v>1353.7</v>
      </c>
      <c r="Z32" s="215">
        <f>Y32</f>
        <v>1353.7</v>
      </c>
      <c r="AA32" s="215">
        <f>Z32</f>
        <v>1353.7</v>
      </c>
      <c r="AB32" s="215">
        <f t="shared" si="92"/>
        <v>1353.7</v>
      </c>
      <c r="AC32" s="215">
        <f t="shared" si="92"/>
        <v>1353.7</v>
      </c>
      <c r="AD32" s="215">
        <f t="shared" si="92"/>
        <v>1353.7</v>
      </c>
      <c r="AE32" s="212"/>
      <c r="AF32" s="213"/>
      <c r="AG32" s="215"/>
      <c r="AH32" s="215"/>
      <c r="AI32" s="215"/>
      <c r="AJ32" s="214">
        <v>545</v>
      </c>
      <c r="AK32" s="216"/>
      <c r="AL32" s="214"/>
      <c r="AM32" s="216"/>
      <c r="AN32" s="212"/>
      <c r="AO32" s="213"/>
      <c r="AP32" s="215"/>
      <c r="AQ32" s="212"/>
      <c r="AR32" s="213"/>
      <c r="AS32" s="215"/>
      <c r="AT32" s="215"/>
      <c r="AU32" s="212"/>
      <c r="AV32" s="213"/>
      <c r="AW32" s="214"/>
      <c r="AX32" s="213"/>
      <c r="AY32" s="212"/>
      <c r="AZ32" s="213"/>
      <c r="BA32" s="212"/>
      <c r="BB32" s="213"/>
    </row>
    <row r="33" spans="1:54" s="126" customFormat="1" hidden="1" x14ac:dyDescent="0.2">
      <c r="A33" s="210" t="s">
        <v>205</v>
      </c>
      <c r="B33" s="211" t="s">
        <v>204</v>
      </c>
      <c r="C33" s="212"/>
      <c r="D33" s="212"/>
      <c r="E33" s="213"/>
      <c r="F33" s="214"/>
      <c r="G33" s="213"/>
      <c r="H33" s="214"/>
      <c r="I33" s="213"/>
      <c r="J33" s="215"/>
      <c r="K33" s="215"/>
      <c r="L33" s="215"/>
      <c r="M33" s="215"/>
      <c r="N33" s="215"/>
      <c r="O33" s="215"/>
      <c r="P33" s="215"/>
      <c r="Q33" s="214"/>
      <c r="R33" s="213"/>
      <c r="S33" s="215"/>
      <c r="T33" s="215"/>
      <c r="U33" s="214"/>
      <c r="V33" s="216"/>
      <c r="W33" s="214">
        <v>2256.1</v>
      </c>
      <c r="X33" s="216">
        <v>0</v>
      </c>
      <c r="Y33" s="215">
        <f>W33</f>
        <v>2256.1</v>
      </c>
      <c r="Z33" s="215"/>
      <c r="AA33" s="215"/>
      <c r="AB33" s="215"/>
      <c r="AC33" s="215"/>
      <c r="AD33" s="215"/>
      <c r="AE33" s="212"/>
      <c r="AF33" s="213"/>
      <c r="AG33" s="215"/>
      <c r="AH33" s="215"/>
      <c r="AI33" s="215"/>
      <c r="AJ33" s="214"/>
      <c r="AK33" s="216"/>
      <c r="AL33" s="214"/>
      <c r="AM33" s="216"/>
      <c r="AN33" s="212"/>
      <c r="AO33" s="213"/>
      <c r="AP33" s="215"/>
      <c r="AQ33" s="212"/>
      <c r="AR33" s="213"/>
      <c r="AS33" s="215"/>
      <c r="AT33" s="215"/>
      <c r="AU33" s="212"/>
      <c r="AV33" s="213"/>
      <c r="AW33" s="214"/>
      <c r="AX33" s="213"/>
      <c r="AY33" s="212"/>
      <c r="AZ33" s="213"/>
      <c r="BA33" s="212"/>
      <c r="BB33" s="213"/>
    </row>
    <row r="34" spans="1:54" s="126" customFormat="1" hidden="1" x14ac:dyDescent="0.2">
      <c r="A34" s="210" t="s">
        <v>201</v>
      </c>
      <c r="B34" s="211" t="s">
        <v>206</v>
      </c>
      <c r="C34" s="212"/>
      <c r="D34" s="212"/>
      <c r="E34" s="213"/>
      <c r="F34" s="214"/>
      <c r="G34" s="213"/>
      <c r="H34" s="214"/>
      <c r="I34" s="213"/>
      <c r="J34" s="215"/>
      <c r="K34" s="215"/>
      <c r="L34" s="215"/>
      <c r="M34" s="215"/>
      <c r="N34" s="215"/>
      <c r="O34" s="215"/>
      <c r="P34" s="215"/>
      <c r="Q34" s="214"/>
      <c r="R34" s="213"/>
      <c r="S34" s="215"/>
      <c r="T34" s="215"/>
      <c r="U34" s="214"/>
      <c r="V34" s="216"/>
      <c r="W34" s="214">
        <v>960.5</v>
      </c>
      <c r="X34" s="216">
        <v>0</v>
      </c>
      <c r="Y34" s="215">
        <f>W34</f>
        <v>960.5</v>
      </c>
      <c r="Z34" s="215">
        <f>Y34</f>
        <v>960.5</v>
      </c>
      <c r="AA34" s="215">
        <f>Z34</f>
        <v>960.5</v>
      </c>
      <c r="AB34" s="215">
        <f t="shared" ref="AB34:AB35" si="93">AA34</f>
        <v>960.5</v>
      </c>
      <c r="AC34" s="215">
        <f t="shared" ref="AC34:AC35" si="94">AB34</f>
        <v>960.5</v>
      </c>
      <c r="AD34" s="215">
        <f t="shared" ref="AD34:AD35" si="95">AC34</f>
        <v>960.5</v>
      </c>
      <c r="AE34" s="212"/>
      <c r="AF34" s="213"/>
      <c r="AG34" s="215"/>
      <c r="AH34" s="215"/>
      <c r="AI34" s="215"/>
      <c r="AJ34" s="214"/>
      <c r="AK34" s="216"/>
      <c r="AL34" s="214"/>
      <c r="AM34" s="216"/>
      <c r="AN34" s="212"/>
      <c r="AO34" s="213"/>
      <c r="AP34" s="215"/>
      <c r="AQ34" s="212"/>
      <c r="AR34" s="213"/>
      <c r="AS34" s="215"/>
      <c r="AT34" s="215"/>
      <c r="AU34" s="212"/>
      <c r="AV34" s="213"/>
      <c r="AW34" s="214"/>
      <c r="AX34" s="213"/>
      <c r="AY34" s="212"/>
      <c r="AZ34" s="213"/>
      <c r="BA34" s="212"/>
      <c r="BB34" s="213"/>
    </row>
    <row r="35" spans="1:54" s="126" customFormat="1" hidden="1" x14ac:dyDescent="0.2">
      <c r="A35" s="210" t="s">
        <v>202</v>
      </c>
      <c r="B35" s="211" t="s">
        <v>207</v>
      </c>
      <c r="C35" s="212"/>
      <c r="D35" s="212"/>
      <c r="E35" s="213"/>
      <c r="F35" s="214"/>
      <c r="G35" s="213"/>
      <c r="H35" s="214"/>
      <c r="I35" s="213"/>
      <c r="J35" s="215"/>
      <c r="K35" s="215"/>
      <c r="L35" s="215"/>
      <c r="M35" s="215"/>
      <c r="N35" s="215"/>
      <c r="O35" s="215"/>
      <c r="P35" s="215"/>
      <c r="Q35" s="214"/>
      <c r="R35" s="213"/>
      <c r="S35" s="215"/>
      <c r="T35" s="215"/>
      <c r="U35" s="214"/>
      <c r="V35" s="216"/>
      <c r="W35" s="214">
        <v>393.1</v>
      </c>
      <c r="X35" s="216">
        <v>0</v>
      </c>
      <c r="Y35" s="215">
        <f>W35</f>
        <v>393.1</v>
      </c>
      <c r="Z35" s="215">
        <f>Y35</f>
        <v>393.1</v>
      </c>
      <c r="AA35" s="215">
        <f>Z35</f>
        <v>393.1</v>
      </c>
      <c r="AB35" s="215">
        <f t="shared" si="93"/>
        <v>393.1</v>
      </c>
      <c r="AC35" s="215">
        <f t="shared" si="94"/>
        <v>393.1</v>
      </c>
      <c r="AD35" s="215">
        <f t="shared" si="95"/>
        <v>393.1</v>
      </c>
      <c r="AE35" s="212"/>
      <c r="AF35" s="213"/>
      <c r="AG35" s="215"/>
      <c r="AH35" s="215"/>
      <c r="AI35" s="215"/>
      <c r="AJ35" s="214"/>
      <c r="AK35" s="216"/>
      <c r="AL35" s="214"/>
      <c r="AM35" s="216"/>
      <c r="AN35" s="212"/>
      <c r="AO35" s="213"/>
      <c r="AP35" s="215"/>
      <c r="AQ35" s="212"/>
      <c r="AR35" s="213"/>
      <c r="AS35" s="215"/>
      <c r="AT35" s="215"/>
      <c r="AU35" s="212"/>
      <c r="AV35" s="213"/>
      <c r="AW35" s="214"/>
      <c r="AX35" s="213"/>
      <c r="AY35" s="212"/>
      <c r="AZ35" s="213"/>
      <c r="BA35" s="212"/>
      <c r="BB35" s="213"/>
    </row>
    <row r="36" spans="1:54" x14ac:dyDescent="0.2">
      <c r="A36" s="51"/>
      <c r="B36" s="52"/>
      <c r="C36" s="53"/>
      <c r="D36" s="53"/>
      <c r="E36" s="54"/>
      <c r="F36" s="53"/>
      <c r="G36" s="54"/>
      <c r="H36" s="53"/>
      <c r="I36" s="54"/>
      <c r="J36" s="57"/>
      <c r="K36" s="57"/>
      <c r="L36" s="57"/>
      <c r="M36" s="57"/>
      <c r="N36" s="57"/>
      <c r="O36" s="57"/>
      <c r="P36" s="57"/>
      <c r="Q36" s="53" t="s">
        <v>199</v>
      </c>
      <c r="R36" s="54"/>
      <c r="S36" s="57"/>
      <c r="T36" s="57"/>
      <c r="U36" s="53"/>
      <c r="V36" s="54"/>
      <c r="W36" s="53"/>
      <c r="X36" s="54"/>
      <c r="Y36" s="56"/>
      <c r="Z36" s="56"/>
      <c r="AA36" s="56"/>
      <c r="AB36" s="56"/>
      <c r="AC36" s="56"/>
      <c r="AD36" s="56"/>
      <c r="AE36" s="53"/>
      <c r="AF36" s="54"/>
      <c r="AG36" s="57"/>
      <c r="AH36" s="57"/>
      <c r="AI36" s="57"/>
      <c r="AJ36" s="55"/>
      <c r="AK36" s="54"/>
      <c r="AL36" s="53"/>
      <c r="AM36" s="54"/>
      <c r="AN36" s="53"/>
      <c r="AO36" s="54"/>
      <c r="AP36" s="57"/>
      <c r="AQ36" s="53"/>
      <c r="AR36" s="54"/>
      <c r="AS36" s="57"/>
      <c r="AT36" s="57"/>
      <c r="AU36" s="53"/>
      <c r="AV36" s="54"/>
      <c r="AW36" s="53"/>
      <c r="AX36" s="54"/>
      <c r="AY36" s="53"/>
      <c r="AZ36" s="54"/>
      <c r="BA36" s="53"/>
      <c r="BB36" s="54"/>
    </row>
    <row r="37" spans="1:54" x14ac:dyDescent="0.2">
      <c r="A37" s="23"/>
      <c r="B37" s="24" t="s">
        <v>30</v>
      </c>
      <c r="C37" s="25"/>
      <c r="D37" s="26"/>
      <c r="E37" s="27"/>
      <c r="F37" s="26"/>
      <c r="G37" s="27"/>
      <c r="H37" s="26"/>
      <c r="I37" s="27"/>
      <c r="J37" s="27"/>
      <c r="K37" s="27"/>
      <c r="L37" s="27"/>
      <c r="M37" s="27"/>
      <c r="N37" s="27"/>
      <c r="O37" s="27"/>
      <c r="P37" s="27"/>
      <c r="Q37" s="26"/>
      <c r="R37" s="27"/>
      <c r="S37" s="27"/>
      <c r="T37" s="27"/>
      <c r="U37" s="28"/>
      <c r="V37" s="27"/>
      <c r="W37" s="28"/>
      <c r="X37" s="27"/>
      <c r="Y37" s="30"/>
      <c r="Z37" s="29"/>
      <c r="AA37" s="30"/>
      <c r="AB37" s="30"/>
      <c r="AC37" s="30"/>
      <c r="AD37" s="30"/>
      <c r="AE37" s="28"/>
      <c r="AF37" s="27"/>
      <c r="AG37" s="26"/>
      <c r="AH37" s="26"/>
      <c r="AI37" s="31"/>
      <c r="AJ37" s="26"/>
      <c r="AK37" s="26"/>
      <c r="AL37" s="26"/>
      <c r="AM37" s="26"/>
      <c r="AN37" s="28"/>
      <c r="AO37" s="27"/>
      <c r="AP37" s="26"/>
      <c r="AQ37" s="28"/>
      <c r="AR37" s="27"/>
      <c r="AS37" s="26"/>
      <c r="AT37" s="26"/>
      <c r="AU37" s="27"/>
      <c r="AV37" s="27"/>
      <c r="AW37" s="26"/>
      <c r="AX37" s="27"/>
      <c r="AY37" s="27"/>
      <c r="AZ37" s="27"/>
      <c r="BA37" s="27"/>
      <c r="BB37" s="127"/>
    </row>
    <row r="38" spans="1:54" x14ac:dyDescent="0.2">
      <c r="A38" s="58"/>
      <c r="B38" s="59"/>
      <c r="C38" s="60"/>
      <c r="D38" s="36"/>
      <c r="E38" s="61"/>
      <c r="F38" s="36"/>
      <c r="G38" s="61"/>
      <c r="H38" s="36"/>
      <c r="I38" s="61"/>
      <c r="J38" s="64"/>
      <c r="K38" s="64"/>
      <c r="L38" s="64"/>
      <c r="M38" s="64"/>
      <c r="N38" s="64"/>
      <c r="O38" s="64"/>
      <c r="P38" s="64"/>
      <c r="Q38" s="36"/>
      <c r="R38" s="61"/>
      <c r="S38" s="64"/>
      <c r="T38" s="64"/>
      <c r="U38" s="36"/>
      <c r="V38" s="61"/>
      <c r="W38" s="36"/>
      <c r="X38" s="61"/>
      <c r="Y38" s="63"/>
      <c r="Z38" s="63"/>
      <c r="AA38" s="63"/>
      <c r="AB38" s="63"/>
      <c r="AC38" s="63"/>
      <c r="AD38" s="63"/>
      <c r="AE38" s="36"/>
      <c r="AF38" s="61"/>
      <c r="AG38" s="64"/>
      <c r="AH38" s="64"/>
      <c r="AI38" s="64"/>
      <c r="AJ38" s="62"/>
      <c r="AK38" s="61"/>
      <c r="AL38" s="36"/>
      <c r="AM38" s="61"/>
      <c r="AN38" s="36"/>
      <c r="AO38" s="61"/>
      <c r="AP38" s="64"/>
      <c r="AQ38" s="36"/>
      <c r="AR38" s="61"/>
      <c r="AS38" s="64"/>
      <c r="AT38" s="64"/>
      <c r="AU38" s="36"/>
      <c r="AV38" s="61"/>
      <c r="AW38" s="36"/>
      <c r="AX38" s="61"/>
      <c r="AY38" s="36"/>
      <c r="AZ38" s="61"/>
      <c r="BA38" s="36"/>
      <c r="BB38" s="61"/>
    </row>
    <row r="39" spans="1:54" x14ac:dyDescent="0.2">
      <c r="A39" s="65" t="s">
        <v>31</v>
      </c>
      <c r="B39" s="66" t="s">
        <v>32</v>
      </c>
      <c r="C39" s="44"/>
      <c r="D39" s="44">
        <f t="shared" ref="D39:D71" si="96">ROUND(E39*C39,1)</f>
        <v>0</v>
      </c>
      <c r="E39" s="42">
        <v>0</v>
      </c>
      <c r="F39" s="44">
        <f t="shared" ref="F39:F44" si="97">ROUND(G39*A39,1)</f>
        <v>0</v>
      </c>
      <c r="G39" s="113">
        <v>0</v>
      </c>
      <c r="H39" s="44">
        <f t="shared" ref="H39:H71" si="98">ROUND(I39*C39,1)</f>
        <v>0</v>
      </c>
      <c r="I39" s="113">
        <v>0</v>
      </c>
      <c r="J39" s="46">
        <f t="shared" ref="J39:P49" si="99">ROUND($C39*$I39*J$6,1)</f>
        <v>0</v>
      </c>
      <c r="K39" s="46">
        <f t="shared" si="99"/>
        <v>0</v>
      </c>
      <c r="L39" s="46">
        <f t="shared" si="99"/>
        <v>0</v>
      </c>
      <c r="M39" s="46">
        <f t="shared" si="99"/>
        <v>0</v>
      </c>
      <c r="N39" s="46">
        <f t="shared" si="99"/>
        <v>0</v>
      </c>
      <c r="O39" s="46">
        <f t="shared" si="99"/>
        <v>0</v>
      </c>
      <c r="P39" s="46">
        <f t="shared" si="99"/>
        <v>0</v>
      </c>
      <c r="Q39" s="44">
        <f t="shared" ref="Q39:Q71" si="100">ROUNDDOWN(C39*R39,1)</f>
        <v>0</v>
      </c>
      <c r="R39" s="113">
        <v>0</v>
      </c>
      <c r="S39" s="46">
        <f t="shared" ref="S39:T55" si="101">ROUNDDOWN($Q39*S$6,1)</f>
        <v>0</v>
      </c>
      <c r="T39" s="46">
        <f t="shared" si="101"/>
        <v>0</v>
      </c>
      <c r="U39" s="44">
        <f>ROUNDDOWN($C39*V39,1)</f>
        <v>0</v>
      </c>
      <c r="V39" s="115">
        <v>0</v>
      </c>
      <c r="W39" s="44">
        <f>ROUNDDOWN($C39*X39,1)</f>
        <v>0</v>
      </c>
      <c r="X39" s="115">
        <f>V39</f>
        <v>0</v>
      </c>
      <c r="Y39" s="46">
        <f t="shared" ref="Y39:AD49" si="102">ROUND($C39*$X39*Y$6,1)</f>
        <v>0</v>
      </c>
      <c r="Z39" s="46">
        <f t="shared" si="102"/>
        <v>0</v>
      </c>
      <c r="AA39" s="46">
        <f t="shared" si="102"/>
        <v>0</v>
      </c>
      <c r="AB39" s="46">
        <f t="shared" si="102"/>
        <v>0</v>
      </c>
      <c r="AC39" s="46">
        <f t="shared" si="102"/>
        <v>0</v>
      </c>
      <c r="AD39" s="46">
        <f t="shared" si="102"/>
        <v>0</v>
      </c>
      <c r="AE39" s="44">
        <v>0</v>
      </c>
      <c r="AF39" s="42">
        <v>0</v>
      </c>
      <c r="AG39" s="46">
        <f t="shared" ref="AG39:AI61" si="103">ROUND($AE39*AG$6,1)</f>
        <v>0</v>
      </c>
      <c r="AH39" s="46">
        <f t="shared" si="103"/>
        <v>0</v>
      </c>
      <c r="AI39" s="46">
        <f t="shared" si="103"/>
        <v>0</v>
      </c>
      <c r="AJ39" s="42">
        <v>0</v>
      </c>
      <c r="AK39" s="42">
        <v>0</v>
      </c>
      <c r="AL39" s="44"/>
      <c r="AM39" s="42"/>
      <c r="AN39" s="44">
        <f t="shared" ref="AN39:AN71" si="104">ROUNDDOWN(C39*AO39,1)</f>
        <v>0</v>
      </c>
      <c r="AO39" s="42">
        <v>0</v>
      </c>
      <c r="AP39" s="46">
        <f t="shared" ref="AP39:AP71" si="105">ROUNDDOWN($AN39*AP$6,1)</f>
        <v>0</v>
      </c>
      <c r="AQ39" s="44">
        <f t="shared" ref="AQ39:AQ71" si="106">ROUNDDOWN(AR39*C39,1)</f>
        <v>0</v>
      </c>
      <c r="AR39" s="42">
        <v>0</v>
      </c>
      <c r="AS39" s="46">
        <f t="shared" ref="AS39:AT55" si="107">ROUNDDOWN($AQ39*AS$6,1)</f>
        <v>0</v>
      </c>
      <c r="AT39" s="46">
        <f t="shared" si="107"/>
        <v>0</v>
      </c>
      <c r="AU39" s="44">
        <f>ROUNDDOWN($C39*AV39,1)</f>
        <v>0</v>
      </c>
      <c r="AV39" s="42">
        <v>0</v>
      </c>
      <c r="AW39" s="44">
        <f>ROUNDDOWN(AX39*C39,1)</f>
        <v>0</v>
      </c>
      <c r="AX39" s="42">
        <v>0</v>
      </c>
      <c r="AY39" s="44">
        <f>ROUNDDOWN($C39*AZ39,1)</f>
        <v>0</v>
      </c>
      <c r="AZ39" s="42">
        <v>0</v>
      </c>
      <c r="BA39" s="44">
        <f>ROUNDDOWN($C39*BB39,1)</f>
        <v>0</v>
      </c>
      <c r="BB39" s="42">
        <v>0</v>
      </c>
    </row>
    <row r="40" spans="1:54" s="67" customFormat="1" ht="14.25" customHeight="1" x14ac:dyDescent="0.2">
      <c r="A40" s="65" t="s">
        <v>33</v>
      </c>
      <c r="B40" s="66" t="s">
        <v>34</v>
      </c>
      <c r="C40" s="44"/>
      <c r="D40" s="44">
        <f t="shared" si="96"/>
        <v>0</v>
      </c>
      <c r="E40" s="42">
        <v>0</v>
      </c>
      <c r="F40" s="44">
        <f t="shared" si="97"/>
        <v>0</v>
      </c>
      <c r="G40" s="113">
        <v>0</v>
      </c>
      <c r="H40" s="44">
        <f t="shared" si="98"/>
        <v>0</v>
      </c>
      <c r="I40" s="113">
        <v>0</v>
      </c>
      <c r="J40" s="46">
        <f t="shared" si="99"/>
        <v>0</v>
      </c>
      <c r="K40" s="46">
        <f t="shared" si="99"/>
        <v>0</v>
      </c>
      <c r="L40" s="46">
        <f t="shared" si="99"/>
        <v>0</v>
      </c>
      <c r="M40" s="46">
        <f t="shared" si="99"/>
        <v>0</v>
      </c>
      <c r="N40" s="46">
        <f t="shared" si="99"/>
        <v>0</v>
      </c>
      <c r="O40" s="46">
        <f t="shared" si="99"/>
        <v>0</v>
      </c>
      <c r="P40" s="46">
        <f t="shared" si="99"/>
        <v>0</v>
      </c>
      <c r="Q40" s="44">
        <f t="shared" si="100"/>
        <v>0</v>
      </c>
      <c r="R40" s="113">
        <v>0</v>
      </c>
      <c r="S40" s="46">
        <f t="shared" si="101"/>
        <v>0</v>
      </c>
      <c r="T40" s="46">
        <f t="shared" si="101"/>
        <v>0</v>
      </c>
      <c r="U40" s="44">
        <f t="shared" ref="U40:U71" si="108">ROUNDDOWN($C40*V40,1)</f>
        <v>0</v>
      </c>
      <c r="V40" s="115">
        <v>0</v>
      </c>
      <c r="W40" s="44">
        <f t="shared" ref="W40:W71" si="109">ROUNDDOWN($C40*X40,1)</f>
        <v>0</v>
      </c>
      <c r="X40" s="115">
        <f t="shared" ref="X40:X71" si="110">V40</f>
        <v>0</v>
      </c>
      <c r="Y40" s="46">
        <f t="shared" si="102"/>
        <v>0</v>
      </c>
      <c r="Z40" s="46">
        <f t="shared" si="102"/>
        <v>0</v>
      </c>
      <c r="AA40" s="46">
        <f t="shared" si="102"/>
        <v>0</v>
      </c>
      <c r="AB40" s="46">
        <f t="shared" si="102"/>
        <v>0</v>
      </c>
      <c r="AC40" s="46">
        <f t="shared" si="102"/>
        <v>0</v>
      </c>
      <c r="AD40" s="46">
        <f t="shared" si="102"/>
        <v>0</v>
      </c>
      <c r="AE40" s="44">
        <v>0</v>
      </c>
      <c r="AF40" s="42">
        <v>0</v>
      </c>
      <c r="AG40" s="46">
        <f t="shared" si="103"/>
        <v>0</v>
      </c>
      <c r="AH40" s="46">
        <f t="shared" si="103"/>
        <v>0</v>
      </c>
      <c r="AI40" s="46">
        <f t="shared" si="103"/>
        <v>0</v>
      </c>
      <c r="AJ40" s="42">
        <v>0</v>
      </c>
      <c r="AK40" s="42">
        <v>0</v>
      </c>
      <c r="AL40" s="44"/>
      <c r="AM40" s="42"/>
      <c r="AN40" s="44">
        <f t="shared" si="104"/>
        <v>0</v>
      </c>
      <c r="AO40" s="42">
        <v>0</v>
      </c>
      <c r="AP40" s="46">
        <f t="shared" si="105"/>
        <v>0</v>
      </c>
      <c r="AQ40" s="44">
        <f t="shared" si="106"/>
        <v>0</v>
      </c>
      <c r="AR40" s="42">
        <v>0</v>
      </c>
      <c r="AS40" s="46">
        <f t="shared" si="107"/>
        <v>0</v>
      </c>
      <c r="AT40" s="46">
        <f t="shared" si="107"/>
        <v>0</v>
      </c>
      <c r="AU40" s="44">
        <f t="shared" ref="AU40:AY71" si="111">ROUNDDOWN($C40*AV40,1)</f>
        <v>0</v>
      </c>
      <c r="AV40" s="42">
        <v>0</v>
      </c>
      <c r="AW40" s="44">
        <f t="shared" ref="AW40:AW71" si="112">ROUNDDOWN(AX40*C40,1)</f>
        <v>0</v>
      </c>
      <c r="AX40" s="42">
        <v>0</v>
      </c>
      <c r="AY40" s="44">
        <f t="shared" si="111"/>
        <v>0</v>
      </c>
      <c r="AZ40" s="42">
        <v>0</v>
      </c>
      <c r="BA40" s="44">
        <f t="shared" ref="BA40" si="113">ROUNDDOWN($C40*BB40,1)</f>
        <v>0</v>
      </c>
      <c r="BB40" s="42">
        <v>0</v>
      </c>
    </row>
    <row r="41" spans="1:54" s="67" customFormat="1" x14ac:dyDescent="0.2">
      <c r="A41" s="65" t="s">
        <v>35</v>
      </c>
      <c r="B41" s="66" t="s">
        <v>36</v>
      </c>
      <c r="C41" s="44"/>
      <c r="D41" s="44">
        <f t="shared" si="96"/>
        <v>0</v>
      </c>
      <c r="E41" s="42">
        <v>0</v>
      </c>
      <c r="F41" s="44">
        <f t="shared" si="97"/>
        <v>0</v>
      </c>
      <c r="G41" s="113">
        <v>0</v>
      </c>
      <c r="H41" s="44">
        <f t="shared" si="98"/>
        <v>0</v>
      </c>
      <c r="I41" s="113">
        <v>0</v>
      </c>
      <c r="J41" s="46">
        <f t="shared" si="99"/>
        <v>0</v>
      </c>
      <c r="K41" s="46">
        <f t="shared" si="99"/>
        <v>0</v>
      </c>
      <c r="L41" s="46">
        <f t="shared" si="99"/>
        <v>0</v>
      </c>
      <c r="M41" s="46">
        <f t="shared" si="99"/>
        <v>0</v>
      </c>
      <c r="N41" s="46">
        <f t="shared" si="99"/>
        <v>0</v>
      </c>
      <c r="O41" s="46">
        <f t="shared" si="99"/>
        <v>0</v>
      </c>
      <c r="P41" s="46">
        <f t="shared" si="99"/>
        <v>0</v>
      </c>
      <c r="Q41" s="44">
        <f t="shared" si="100"/>
        <v>0</v>
      </c>
      <c r="R41" s="113">
        <v>0</v>
      </c>
      <c r="S41" s="46">
        <f t="shared" si="101"/>
        <v>0</v>
      </c>
      <c r="T41" s="46">
        <f t="shared" si="101"/>
        <v>0</v>
      </c>
      <c r="U41" s="44">
        <f t="shared" si="108"/>
        <v>0</v>
      </c>
      <c r="V41" s="115">
        <v>0</v>
      </c>
      <c r="W41" s="44">
        <f t="shared" si="109"/>
        <v>0</v>
      </c>
      <c r="X41" s="115">
        <f t="shared" si="110"/>
        <v>0</v>
      </c>
      <c r="Y41" s="46">
        <f t="shared" si="102"/>
        <v>0</v>
      </c>
      <c r="Z41" s="46">
        <f t="shared" si="102"/>
        <v>0</v>
      </c>
      <c r="AA41" s="46">
        <f t="shared" si="102"/>
        <v>0</v>
      </c>
      <c r="AB41" s="46">
        <f t="shared" si="102"/>
        <v>0</v>
      </c>
      <c r="AC41" s="46">
        <f t="shared" si="102"/>
        <v>0</v>
      </c>
      <c r="AD41" s="46">
        <f t="shared" si="102"/>
        <v>0</v>
      </c>
      <c r="AE41" s="44">
        <v>0</v>
      </c>
      <c r="AF41" s="42">
        <v>0</v>
      </c>
      <c r="AG41" s="46">
        <f t="shared" si="103"/>
        <v>0</v>
      </c>
      <c r="AH41" s="46">
        <f t="shared" si="103"/>
        <v>0</v>
      </c>
      <c r="AI41" s="46">
        <f t="shared" si="103"/>
        <v>0</v>
      </c>
      <c r="AJ41" s="42">
        <v>0</v>
      </c>
      <c r="AK41" s="42">
        <v>0</v>
      </c>
      <c r="AL41" s="44"/>
      <c r="AM41" s="42"/>
      <c r="AN41" s="44">
        <f t="shared" si="104"/>
        <v>0</v>
      </c>
      <c r="AO41" s="42">
        <v>0</v>
      </c>
      <c r="AP41" s="46">
        <f t="shared" si="105"/>
        <v>0</v>
      </c>
      <c r="AQ41" s="44">
        <f t="shared" si="106"/>
        <v>0</v>
      </c>
      <c r="AR41" s="42">
        <v>0</v>
      </c>
      <c r="AS41" s="46">
        <f t="shared" si="107"/>
        <v>0</v>
      </c>
      <c r="AT41" s="46">
        <f t="shared" si="107"/>
        <v>0</v>
      </c>
      <c r="AU41" s="44">
        <f t="shared" si="111"/>
        <v>0</v>
      </c>
      <c r="AV41" s="42">
        <v>0</v>
      </c>
      <c r="AW41" s="44">
        <f t="shared" si="112"/>
        <v>0</v>
      </c>
      <c r="AX41" s="42">
        <v>0</v>
      </c>
      <c r="AY41" s="44">
        <f t="shared" si="111"/>
        <v>0</v>
      </c>
      <c r="AZ41" s="42">
        <v>0</v>
      </c>
      <c r="BA41" s="44">
        <f t="shared" ref="BA41" si="114">ROUNDDOWN($C41*BB41,1)</f>
        <v>0</v>
      </c>
      <c r="BB41" s="42">
        <v>0</v>
      </c>
    </row>
    <row r="42" spans="1:54" s="67" customFormat="1" x14ac:dyDescent="0.2">
      <c r="A42" s="68" t="s">
        <v>37</v>
      </c>
      <c r="B42" s="69" t="s">
        <v>38</v>
      </c>
      <c r="C42" s="44"/>
      <c r="D42" s="44">
        <f t="shared" si="96"/>
        <v>0</v>
      </c>
      <c r="E42" s="42">
        <v>0</v>
      </c>
      <c r="F42" s="44">
        <f t="shared" si="97"/>
        <v>0</v>
      </c>
      <c r="G42" s="113">
        <v>0</v>
      </c>
      <c r="H42" s="44">
        <f t="shared" si="98"/>
        <v>0</v>
      </c>
      <c r="I42" s="113">
        <v>0</v>
      </c>
      <c r="J42" s="46">
        <f t="shared" si="99"/>
        <v>0</v>
      </c>
      <c r="K42" s="46">
        <f t="shared" si="99"/>
        <v>0</v>
      </c>
      <c r="L42" s="46">
        <f t="shared" si="99"/>
        <v>0</v>
      </c>
      <c r="M42" s="46">
        <f t="shared" si="99"/>
        <v>0</v>
      </c>
      <c r="N42" s="46">
        <f t="shared" si="99"/>
        <v>0</v>
      </c>
      <c r="O42" s="46">
        <f t="shared" si="99"/>
        <v>0</v>
      </c>
      <c r="P42" s="46">
        <f t="shared" si="99"/>
        <v>0</v>
      </c>
      <c r="Q42" s="44">
        <f t="shared" si="100"/>
        <v>0</v>
      </c>
      <c r="R42" s="113">
        <v>0</v>
      </c>
      <c r="S42" s="46">
        <f t="shared" si="101"/>
        <v>0</v>
      </c>
      <c r="T42" s="46">
        <f t="shared" si="101"/>
        <v>0</v>
      </c>
      <c r="U42" s="44">
        <f t="shared" si="108"/>
        <v>0</v>
      </c>
      <c r="V42" s="115">
        <v>0</v>
      </c>
      <c r="W42" s="44">
        <f t="shared" si="109"/>
        <v>0</v>
      </c>
      <c r="X42" s="115">
        <f t="shared" si="110"/>
        <v>0</v>
      </c>
      <c r="Y42" s="46">
        <f t="shared" si="102"/>
        <v>0</v>
      </c>
      <c r="Z42" s="46">
        <f t="shared" si="102"/>
        <v>0</v>
      </c>
      <c r="AA42" s="46">
        <f t="shared" si="102"/>
        <v>0</v>
      </c>
      <c r="AB42" s="46">
        <f t="shared" si="102"/>
        <v>0</v>
      </c>
      <c r="AC42" s="46">
        <f t="shared" si="102"/>
        <v>0</v>
      </c>
      <c r="AD42" s="46">
        <f t="shared" si="102"/>
        <v>0</v>
      </c>
      <c r="AE42" s="44">
        <v>0</v>
      </c>
      <c r="AF42" s="42">
        <v>0</v>
      </c>
      <c r="AG42" s="46">
        <f t="shared" si="103"/>
        <v>0</v>
      </c>
      <c r="AH42" s="46">
        <f t="shared" si="103"/>
        <v>0</v>
      </c>
      <c r="AI42" s="46">
        <f t="shared" si="103"/>
        <v>0</v>
      </c>
      <c r="AJ42" s="42">
        <v>0</v>
      </c>
      <c r="AK42" s="42">
        <v>0</v>
      </c>
      <c r="AL42" s="44"/>
      <c r="AM42" s="42"/>
      <c r="AN42" s="44">
        <f t="shared" si="104"/>
        <v>0</v>
      </c>
      <c r="AO42" s="42">
        <v>0</v>
      </c>
      <c r="AP42" s="46">
        <f t="shared" si="105"/>
        <v>0</v>
      </c>
      <c r="AQ42" s="44">
        <f t="shared" si="106"/>
        <v>0</v>
      </c>
      <c r="AR42" s="42">
        <v>0</v>
      </c>
      <c r="AS42" s="46">
        <f t="shared" si="107"/>
        <v>0</v>
      </c>
      <c r="AT42" s="46">
        <f t="shared" si="107"/>
        <v>0</v>
      </c>
      <c r="AU42" s="44">
        <f t="shared" si="111"/>
        <v>0</v>
      </c>
      <c r="AV42" s="42">
        <v>0</v>
      </c>
      <c r="AW42" s="44">
        <f t="shared" si="112"/>
        <v>0</v>
      </c>
      <c r="AX42" s="42">
        <v>0</v>
      </c>
      <c r="AY42" s="44">
        <f t="shared" si="111"/>
        <v>0</v>
      </c>
      <c r="AZ42" s="42">
        <v>0</v>
      </c>
      <c r="BA42" s="44">
        <f t="shared" ref="BA42" si="115">ROUNDDOWN($C42*BB42,1)</f>
        <v>0</v>
      </c>
      <c r="BB42" s="42">
        <v>0</v>
      </c>
    </row>
    <row r="43" spans="1:54" s="67" customFormat="1" x14ac:dyDescent="0.2">
      <c r="A43" s="65" t="s">
        <v>39</v>
      </c>
      <c r="B43" s="66" t="s">
        <v>40</v>
      </c>
      <c r="C43" s="44"/>
      <c r="D43" s="44">
        <f t="shared" si="96"/>
        <v>0</v>
      </c>
      <c r="E43" s="42">
        <v>0</v>
      </c>
      <c r="F43" s="44">
        <f t="shared" si="97"/>
        <v>0</v>
      </c>
      <c r="G43" s="113">
        <v>0</v>
      </c>
      <c r="H43" s="44">
        <f t="shared" si="98"/>
        <v>0</v>
      </c>
      <c r="I43" s="113">
        <v>0</v>
      </c>
      <c r="J43" s="46">
        <f t="shared" si="99"/>
        <v>0</v>
      </c>
      <c r="K43" s="46">
        <f t="shared" si="99"/>
        <v>0</v>
      </c>
      <c r="L43" s="46">
        <f t="shared" si="99"/>
        <v>0</v>
      </c>
      <c r="M43" s="46">
        <f t="shared" si="99"/>
        <v>0</v>
      </c>
      <c r="N43" s="46">
        <f t="shared" si="99"/>
        <v>0</v>
      </c>
      <c r="O43" s="46">
        <f t="shared" si="99"/>
        <v>0</v>
      </c>
      <c r="P43" s="46">
        <f t="shared" si="99"/>
        <v>0</v>
      </c>
      <c r="Q43" s="44">
        <f t="shared" si="100"/>
        <v>0</v>
      </c>
      <c r="R43" s="113">
        <v>0</v>
      </c>
      <c r="S43" s="46">
        <f t="shared" si="101"/>
        <v>0</v>
      </c>
      <c r="T43" s="46">
        <f t="shared" si="101"/>
        <v>0</v>
      </c>
      <c r="U43" s="44">
        <f t="shared" si="108"/>
        <v>0</v>
      </c>
      <c r="V43" s="115">
        <v>0</v>
      </c>
      <c r="W43" s="44">
        <f t="shared" si="109"/>
        <v>0</v>
      </c>
      <c r="X43" s="115">
        <f t="shared" si="110"/>
        <v>0</v>
      </c>
      <c r="Y43" s="46">
        <f t="shared" si="102"/>
        <v>0</v>
      </c>
      <c r="Z43" s="46">
        <f t="shared" si="102"/>
        <v>0</v>
      </c>
      <c r="AA43" s="46">
        <f t="shared" si="102"/>
        <v>0</v>
      </c>
      <c r="AB43" s="46">
        <f t="shared" si="102"/>
        <v>0</v>
      </c>
      <c r="AC43" s="46">
        <f t="shared" si="102"/>
        <v>0</v>
      </c>
      <c r="AD43" s="46">
        <f t="shared" si="102"/>
        <v>0</v>
      </c>
      <c r="AE43" s="44">
        <v>0</v>
      </c>
      <c r="AF43" s="42">
        <v>0</v>
      </c>
      <c r="AG43" s="46">
        <f t="shared" si="103"/>
        <v>0</v>
      </c>
      <c r="AH43" s="46">
        <f t="shared" si="103"/>
        <v>0</v>
      </c>
      <c r="AI43" s="46">
        <f t="shared" si="103"/>
        <v>0</v>
      </c>
      <c r="AJ43" s="42">
        <v>0</v>
      </c>
      <c r="AK43" s="42">
        <v>0</v>
      </c>
      <c r="AL43" s="44"/>
      <c r="AM43" s="42"/>
      <c r="AN43" s="44">
        <f t="shared" si="104"/>
        <v>0</v>
      </c>
      <c r="AO43" s="42">
        <v>0</v>
      </c>
      <c r="AP43" s="46">
        <f t="shared" si="105"/>
        <v>0</v>
      </c>
      <c r="AQ43" s="44">
        <f t="shared" si="106"/>
        <v>0</v>
      </c>
      <c r="AR43" s="42">
        <v>0</v>
      </c>
      <c r="AS43" s="46">
        <f t="shared" si="107"/>
        <v>0</v>
      </c>
      <c r="AT43" s="46">
        <f t="shared" si="107"/>
        <v>0</v>
      </c>
      <c r="AU43" s="44">
        <f t="shared" si="111"/>
        <v>0</v>
      </c>
      <c r="AV43" s="42">
        <v>0</v>
      </c>
      <c r="AW43" s="44">
        <f t="shared" si="112"/>
        <v>0</v>
      </c>
      <c r="AX43" s="42">
        <v>0</v>
      </c>
      <c r="AY43" s="44">
        <f t="shared" si="111"/>
        <v>0</v>
      </c>
      <c r="AZ43" s="42">
        <v>0</v>
      </c>
      <c r="BA43" s="44">
        <f t="shared" ref="BA43" si="116">ROUNDDOWN($C43*BB43,1)</f>
        <v>0</v>
      </c>
      <c r="BB43" s="42">
        <v>0</v>
      </c>
    </row>
    <row r="44" spans="1:54" s="67" customFormat="1" x14ac:dyDescent="0.2">
      <c r="A44" s="65" t="s">
        <v>41</v>
      </c>
      <c r="B44" s="66" t="s">
        <v>42</v>
      </c>
      <c r="C44" s="44"/>
      <c r="D44" s="44">
        <f t="shared" si="96"/>
        <v>0</v>
      </c>
      <c r="E44" s="42">
        <v>0</v>
      </c>
      <c r="F44" s="44">
        <f t="shared" si="97"/>
        <v>0</v>
      </c>
      <c r="G44" s="113">
        <v>0</v>
      </c>
      <c r="H44" s="44">
        <f t="shared" si="98"/>
        <v>0</v>
      </c>
      <c r="I44" s="113">
        <v>0</v>
      </c>
      <c r="J44" s="46">
        <f t="shared" si="99"/>
        <v>0</v>
      </c>
      <c r="K44" s="46">
        <f t="shared" si="99"/>
        <v>0</v>
      </c>
      <c r="L44" s="46">
        <f t="shared" si="99"/>
        <v>0</v>
      </c>
      <c r="M44" s="46">
        <f t="shared" si="99"/>
        <v>0</v>
      </c>
      <c r="N44" s="46">
        <f t="shared" si="99"/>
        <v>0</v>
      </c>
      <c r="O44" s="46">
        <f t="shared" si="99"/>
        <v>0</v>
      </c>
      <c r="P44" s="46">
        <f t="shared" si="99"/>
        <v>0</v>
      </c>
      <c r="Q44" s="44">
        <f t="shared" si="100"/>
        <v>0</v>
      </c>
      <c r="R44" s="113">
        <v>0</v>
      </c>
      <c r="S44" s="46">
        <f t="shared" si="101"/>
        <v>0</v>
      </c>
      <c r="T44" s="46">
        <f t="shared" si="101"/>
        <v>0</v>
      </c>
      <c r="U44" s="44">
        <f t="shared" si="108"/>
        <v>0</v>
      </c>
      <c r="V44" s="115">
        <v>0</v>
      </c>
      <c r="W44" s="44">
        <f t="shared" si="109"/>
        <v>0</v>
      </c>
      <c r="X44" s="115">
        <f t="shared" si="110"/>
        <v>0</v>
      </c>
      <c r="Y44" s="46">
        <f t="shared" si="102"/>
        <v>0</v>
      </c>
      <c r="Z44" s="46">
        <f t="shared" si="102"/>
        <v>0</v>
      </c>
      <c r="AA44" s="46">
        <f t="shared" si="102"/>
        <v>0</v>
      </c>
      <c r="AB44" s="46">
        <f t="shared" si="102"/>
        <v>0</v>
      </c>
      <c r="AC44" s="46">
        <f t="shared" si="102"/>
        <v>0</v>
      </c>
      <c r="AD44" s="46">
        <f t="shared" si="102"/>
        <v>0</v>
      </c>
      <c r="AE44" s="44">
        <v>0</v>
      </c>
      <c r="AF44" s="42">
        <v>0</v>
      </c>
      <c r="AG44" s="46">
        <f t="shared" si="103"/>
        <v>0</v>
      </c>
      <c r="AH44" s="46">
        <f t="shared" si="103"/>
        <v>0</v>
      </c>
      <c r="AI44" s="46">
        <f t="shared" si="103"/>
        <v>0</v>
      </c>
      <c r="AJ44" s="42">
        <v>0</v>
      </c>
      <c r="AK44" s="42">
        <v>0</v>
      </c>
      <c r="AL44" s="44"/>
      <c r="AM44" s="42"/>
      <c r="AN44" s="44">
        <f t="shared" si="104"/>
        <v>0</v>
      </c>
      <c r="AO44" s="42">
        <v>0</v>
      </c>
      <c r="AP44" s="46">
        <f t="shared" si="105"/>
        <v>0</v>
      </c>
      <c r="AQ44" s="44">
        <f t="shared" si="106"/>
        <v>0</v>
      </c>
      <c r="AR44" s="42">
        <v>0</v>
      </c>
      <c r="AS44" s="46">
        <f t="shared" si="107"/>
        <v>0</v>
      </c>
      <c r="AT44" s="46">
        <f t="shared" si="107"/>
        <v>0</v>
      </c>
      <c r="AU44" s="44">
        <f t="shared" si="111"/>
        <v>0</v>
      </c>
      <c r="AV44" s="42">
        <v>0</v>
      </c>
      <c r="AW44" s="44">
        <f t="shared" si="112"/>
        <v>0</v>
      </c>
      <c r="AX44" s="42">
        <v>0</v>
      </c>
      <c r="AY44" s="44">
        <f t="shared" si="111"/>
        <v>0</v>
      </c>
      <c r="AZ44" s="42">
        <v>0</v>
      </c>
      <c r="BA44" s="44">
        <f t="shared" ref="BA44:BA45" si="117">ROUNDDOWN($C44*BB44,1)</f>
        <v>0</v>
      </c>
      <c r="BB44" s="42">
        <v>0</v>
      </c>
    </row>
    <row r="45" spans="1:54" s="67" customFormat="1" ht="25.5" x14ac:dyDescent="0.2">
      <c r="A45" s="70" t="s">
        <v>209</v>
      </c>
      <c r="B45" s="66" t="s">
        <v>210</v>
      </c>
      <c r="C45" s="44">
        <v>10</v>
      </c>
      <c r="D45" s="44">
        <f t="shared" ref="D45" si="118">ROUND(E45*C45,1)</f>
        <v>681.4</v>
      </c>
      <c r="E45" s="113">
        <f>RCFs!$C$43</f>
        <v>68.141894999999991</v>
      </c>
      <c r="F45" s="44">
        <f t="shared" ref="F45" si="119">ROUND(G45*C45,1)</f>
        <v>175.8</v>
      </c>
      <c r="G45" s="115">
        <f>RCFs!$C$5</f>
        <v>17.577000000000002</v>
      </c>
      <c r="H45" s="44">
        <f t="shared" ref="H45" si="120">ROUND(I45*C45,1)</f>
        <v>175.8</v>
      </c>
      <c r="I45" s="115">
        <f>RCFs!$C$5</f>
        <v>17.577000000000002</v>
      </c>
      <c r="J45" s="46">
        <f t="shared" si="99"/>
        <v>193.3</v>
      </c>
      <c r="K45" s="46">
        <f t="shared" si="99"/>
        <v>240.8</v>
      </c>
      <c r="L45" s="46">
        <f t="shared" si="99"/>
        <v>258.39999999999998</v>
      </c>
      <c r="M45" s="46">
        <f t="shared" si="99"/>
        <v>284.7</v>
      </c>
      <c r="N45" s="46">
        <f t="shared" si="99"/>
        <v>351.5</v>
      </c>
      <c r="O45" s="46">
        <f t="shared" si="99"/>
        <v>377.9</v>
      </c>
      <c r="P45" s="46">
        <f t="shared" si="99"/>
        <v>527.29999999999995</v>
      </c>
      <c r="Q45" s="44">
        <f t="shared" ref="Q45" si="121">ROUNDDOWN(C45*R45,1)</f>
        <v>176.6</v>
      </c>
      <c r="R45" s="115">
        <f>RCFs!$C$7</f>
        <v>17.66</v>
      </c>
      <c r="S45" s="46">
        <f t="shared" si="101"/>
        <v>229.5</v>
      </c>
      <c r="T45" s="46">
        <f t="shared" si="101"/>
        <v>264.89999999999998</v>
      </c>
      <c r="U45" s="44">
        <f t="shared" ref="U45" si="122">ROUNDDOWN($C45*V45,1)</f>
        <v>170.3</v>
      </c>
      <c r="V45" s="115">
        <f>RCFs!$C$9</f>
        <v>17.033999999999999</v>
      </c>
      <c r="W45" s="44">
        <f t="shared" ref="W45" si="123">ROUNDDOWN($C45*X45,1)</f>
        <v>170.3</v>
      </c>
      <c r="X45" s="115">
        <f t="shared" ref="X45" si="124">V45</f>
        <v>17.033999999999999</v>
      </c>
      <c r="Y45" s="46">
        <f t="shared" si="102"/>
        <v>187.4</v>
      </c>
      <c r="Z45" s="46">
        <f t="shared" si="102"/>
        <v>233.4</v>
      </c>
      <c r="AA45" s="46">
        <f t="shared" si="102"/>
        <v>276</v>
      </c>
      <c r="AB45" s="46">
        <f t="shared" si="102"/>
        <v>250.4</v>
      </c>
      <c r="AC45" s="46">
        <f t="shared" si="102"/>
        <v>369.6</v>
      </c>
      <c r="AD45" s="46">
        <f t="shared" si="102"/>
        <v>511</v>
      </c>
      <c r="AE45" s="44">
        <f t="shared" ref="AE45" si="125">ROUND(AF45*C45,1)</f>
        <v>164.8</v>
      </c>
      <c r="AF45" s="115">
        <f>RCFs!C$13</f>
        <v>16.48</v>
      </c>
      <c r="AG45" s="46">
        <f t="shared" si="103"/>
        <v>271.89999999999998</v>
      </c>
      <c r="AH45" s="46">
        <f t="shared" si="103"/>
        <v>346.1</v>
      </c>
      <c r="AI45" s="46">
        <f t="shared" si="103"/>
        <v>494.4</v>
      </c>
      <c r="AJ45" s="44">
        <f t="shared" ref="AJ45" si="126">ROUND(AK45*C45,1)</f>
        <v>168.8</v>
      </c>
      <c r="AK45" s="115">
        <f>RCFs!C$24</f>
        <v>16.876666666666669</v>
      </c>
      <c r="AL45" s="44">
        <f t="shared" ref="AL45" si="127">ROUND(AM45*C45,1)</f>
        <v>232.6</v>
      </c>
      <c r="AM45" s="115">
        <f>RCFs!$C$28</f>
        <v>23.256666666666668</v>
      </c>
      <c r="AN45" s="44">
        <f t="shared" ref="AN45" si="128">ROUNDDOWN(C45*AO45,1)</f>
        <v>185.1</v>
      </c>
      <c r="AO45" s="115">
        <f>RCFs!C$33</f>
        <v>18.513999999999999</v>
      </c>
      <c r="AP45" s="46">
        <f t="shared" si="105"/>
        <v>277.60000000000002</v>
      </c>
      <c r="AQ45" s="44">
        <f t="shared" ref="AQ45" si="129">ROUNDDOWN(AR45*C45,1)</f>
        <v>173</v>
      </c>
      <c r="AR45" s="115">
        <f>RCFs!$C$35</f>
        <v>17.306666666666668</v>
      </c>
      <c r="AS45" s="46">
        <f t="shared" si="107"/>
        <v>224.9</v>
      </c>
      <c r="AT45" s="46">
        <f t="shared" si="107"/>
        <v>250.8</v>
      </c>
      <c r="AU45" s="44">
        <f t="shared" ref="AU45" si="130">ROUNDDOWN($C45*AV45,1)</f>
        <v>178.6</v>
      </c>
      <c r="AV45" s="115">
        <f>RCFs!C$37</f>
        <v>17.86</v>
      </c>
      <c r="AW45" s="44">
        <f t="shared" si="112"/>
        <v>180.7</v>
      </c>
      <c r="AX45" s="115">
        <f>RCFs!C$64</f>
        <v>18.07</v>
      </c>
      <c r="AY45" s="44">
        <f t="shared" ref="AY45" si="131">ROUNDDOWN($C45*AZ45,1)</f>
        <v>183.2</v>
      </c>
      <c r="AZ45" s="115">
        <f>RCFs!C$39</f>
        <v>18.323333333333334</v>
      </c>
      <c r="BA45" s="44">
        <f t="shared" si="117"/>
        <v>175.7</v>
      </c>
      <c r="BB45" s="115">
        <f>RCFs!$C$41</f>
        <v>17.579000000000001</v>
      </c>
    </row>
    <row r="46" spans="1:54" s="67" customFormat="1" x14ac:dyDescent="0.2">
      <c r="A46" s="65" t="s">
        <v>43</v>
      </c>
      <c r="B46" s="66" t="s">
        <v>44</v>
      </c>
      <c r="C46" s="44">
        <v>210.5</v>
      </c>
      <c r="D46" s="44">
        <f t="shared" si="96"/>
        <v>14343.9</v>
      </c>
      <c r="E46" s="113">
        <f>RCFs!$C$43</f>
        <v>68.141894999999991</v>
      </c>
      <c r="F46" s="44">
        <f t="shared" ref="F46:F61" si="132">ROUND(G46*C46,1)</f>
        <v>3700</v>
      </c>
      <c r="G46" s="115">
        <f>RCFs!$C$5</f>
        <v>17.577000000000002</v>
      </c>
      <c r="H46" s="44">
        <f t="shared" si="98"/>
        <v>3700</v>
      </c>
      <c r="I46" s="115">
        <f>RCFs!$C$5</f>
        <v>17.577000000000002</v>
      </c>
      <c r="J46" s="46">
        <f t="shared" si="99"/>
        <v>4070</v>
      </c>
      <c r="K46" s="46">
        <f t="shared" si="99"/>
        <v>5068.8999999999996</v>
      </c>
      <c r="L46" s="46">
        <f t="shared" si="99"/>
        <v>5438.9</v>
      </c>
      <c r="M46" s="46">
        <f t="shared" si="99"/>
        <v>5993.9</v>
      </c>
      <c r="N46" s="46">
        <f t="shared" si="99"/>
        <v>7399.9</v>
      </c>
      <c r="O46" s="46">
        <f t="shared" si="99"/>
        <v>7954.9</v>
      </c>
      <c r="P46" s="46">
        <f t="shared" si="99"/>
        <v>11099.9</v>
      </c>
      <c r="Q46" s="44">
        <f t="shared" si="100"/>
        <v>3717.4</v>
      </c>
      <c r="R46" s="115">
        <f>RCFs!$C$7</f>
        <v>17.66</v>
      </c>
      <c r="S46" s="46">
        <f t="shared" si="101"/>
        <v>4832.6000000000004</v>
      </c>
      <c r="T46" s="46">
        <f t="shared" si="101"/>
        <v>5576.1</v>
      </c>
      <c r="U46" s="44">
        <f t="shared" si="108"/>
        <v>3585.6</v>
      </c>
      <c r="V46" s="115">
        <f>RCFs!$C$9</f>
        <v>17.033999999999999</v>
      </c>
      <c r="W46" s="44">
        <f t="shared" si="109"/>
        <v>3585.6</v>
      </c>
      <c r="X46" s="115">
        <f t="shared" si="110"/>
        <v>17.033999999999999</v>
      </c>
      <c r="Y46" s="46">
        <f t="shared" si="102"/>
        <v>3944.2</v>
      </c>
      <c r="Z46" s="46">
        <f t="shared" si="102"/>
        <v>4912.3999999999996</v>
      </c>
      <c r="AA46" s="46">
        <f t="shared" si="102"/>
        <v>5808.8</v>
      </c>
      <c r="AB46" s="46">
        <f t="shared" si="102"/>
        <v>5270.9</v>
      </c>
      <c r="AC46" s="46">
        <f t="shared" si="102"/>
        <v>7780.9</v>
      </c>
      <c r="AD46" s="46">
        <f t="shared" si="102"/>
        <v>10757</v>
      </c>
      <c r="AE46" s="44">
        <f t="shared" ref="AE46:AE60" si="133">ROUND(AF46*C46,1)</f>
        <v>3469</v>
      </c>
      <c r="AF46" s="115">
        <f>RCFs!C$13</f>
        <v>16.48</v>
      </c>
      <c r="AG46" s="46">
        <f t="shared" si="103"/>
        <v>5723.9</v>
      </c>
      <c r="AH46" s="46">
        <f t="shared" si="103"/>
        <v>7284.9</v>
      </c>
      <c r="AI46" s="46">
        <f t="shared" si="103"/>
        <v>10407</v>
      </c>
      <c r="AJ46" s="44">
        <f t="shared" ref="AJ46:AJ60" si="134">ROUND(AK46*C46,1)</f>
        <v>3552.5</v>
      </c>
      <c r="AK46" s="115">
        <f>RCFs!C$24</f>
        <v>16.876666666666669</v>
      </c>
      <c r="AL46" s="44">
        <f t="shared" ref="AL46:AL60" si="135">ROUND(AM46*C46,1)</f>
        <v>4895.5</v>
      </c>
      <c r="AM46" s="115">
        <f>RCFs!$C$28</f>
        <v>23.256666666666668</v>
      </c>
      <c r="AN46" s="44">
        <f t="shared" si="104"/>
        <v>3897.1</v>
      </c>
      <c r="AO46" s="115">
        <f>RCFs!C$33</f>
        <v>18.513999999999999</v>
      </c>
      <c r="AP46" s="46">
        <f t="shared" si="105"/>
        <v>5845.6</v>
      </c>
      <c r="AQ46" s="44">
        <f t="shared" si="106"/>
        <v>3643</v>
      </c>
      <c r="AR46" s="115">
        <f>RCFs!$C$35</f>
        <v>17.306666666666668</v>
      </c>
      <c r="AS46" s="46">
        <f t="shared" si="107"/>
        <v>4735.8999999999996</v>
      </c>
      <c r="AT46" s="46">
        <f t="shared" si="107"/>
        <v>5282.3</v>
      </c>
      <c r="AU46" s="44">
        <f t="shared" si="111"/>
        <v>3759.5</v>
      </c>
      <c r="AV46" s="115">
        <f>RCFs!C$37</f>
        <v>17.86</v>
      </c>
      <c r="AW46" s="44">
        <f t="shared" si="112"/>
        <v>3803.7</v>
      </c>
      <c r="AX46" s="115">
        <f>RCFs!C$64</f>
        <v>18.07</v>
      </c>
      <c r="AY46" s="44">
        <f t="shared" si="111"/>
        <v>3857</v>
      </c>
      <c r="AZ46" s="115">
        <f>RCFs!C$39</f>
        <v>18.323333333333334</v>
      </c>
      <c r="BA46" s="44">
        <f t="shared" ref="BA46" si="136">ROUNDDOWN($C46*BB46,1)</f>
        <v>3700.3</v>
      </c>
      <c r="BB46" s="115">
        <f>RCFs!$C$41</f>
        <v>17.579000000000001</v>
      </c>
    </row>
    <row r="47" spans="1:54" s="67" customFormat="1" x14ac:dyDescent="0.2">
      <c r="A47" s="65" t="s">
        <v>45</v>
      </c>
      <c r="B47" s="66" t="s">
        <v>46</v>
      </c>
      <c r="C47" s="44">
        <v>231.7</v>
      </c>
      <c r="D47" s="44">
        <f t="shared" si="96"/>
        <v>15788.5</v>
      </c>
      <c r="E47" s="113">
        <f>RCFs!$C$43</f>
        <v>68.141894999999991</v>
      </c>
      <c r="F47" s="44">
        <f t="shared" si="132"/>
        <v>4072.6</v>
      </c>
      <c r="G47" s="115">
        <f>RCFs!$C$5</f>
        <v>17.577000000000002</v>
      </c>
      <c r="H47" s="44">
        <f t="shared" si="98"/>
        <v>4072.6</v>
      </c>
      <c r="I47" s="115">
        <f>RCFs!$C$5</f>
        <v>17.577000000000002</v>
      </c>
      <c r="J47" s="46">
        <f t="shared" si="99"/>
        <v>4479.8</v>
      </c>
      <c r="K47" s="46">
        <f t="shared" si="99"/>
        <v>5579.4</v>
      </c>
      <c r="L47" s="46">
        <f t="shared" si="99"/>
        <v>5986.7</v>
      </c>
      <c r="M47" s="46">
        <f t="shared" si="99"/>
        <v>6597.6</v>
      </c>
      <c r="N47" s="46">
        <f t="shared" si="99"/>
        <v>8145.2</v>
      </c>
      <c r="O47" s="46">
        <f t="shared" si="99"/>
        <v>8756.1</v>
      </c>
      <c r="P47" s="46">
        <f t="shared" si="99"/>
        <v>12217.8</v>
      </c>
      <c r="Q47" s="44">
        <f t="shared" si="100"/>
        <v>4091.8</v>
      </c>
      <c r="R47" s="115">
        <f>RCFs!$C$7</f>
        <v>17.66</v>
      </c>
      <c r="S47" s="46">
        <f t="shared" si="101"/>
        <v>5319.3</v>
      </c>
      <c r="T47" s="46">
        <f t="shared" si="101"/>
        <v>6137.7</v>
      </c>
      <c r="U47" s="44">
        <f t="shared" si="108"/>
        <v>3946.7</v>
      </c>
      <c r="V47" s="115">
        <f>RCFs!$C$9</f>
        <v>17.033999999999999</v>
      </c>
      <c r="W47" s="44">
        <f t="shared" si="109"/>
        <v>3946.7</v>
      </c>
      <c r="X47" s="115">
        <f t="shared" si="110"/>
        <v>17.033999999999999</v>
      </c>
      <c r="Y47" s="46">
        <f t="shared" si="102"/>
        <v>4341.5</v>
      </c>
      <c r="Z47" s="46">
        <f t="shared" si="102"/>
        <v>5407.1</v>
      </c>
      <c r="AA47" s="46">
        <f t="shared" si="102"/>
        <v>6393.8</v>
      </c>
      <c r="AB47" s="46">
        <f t="shared" si="102"/>
        <v>5801.8</v>
      </c>
      <c r="AC47" s="46">
        <f t="shared" si="102"/>
        <v>8564.5</v>
      </c>
      <c r="AD47" s="46">
        <f t="shared" si="102"/>
        <v>11840.3</v>
      </c>
      <c r="AE47" s="44">
        <f t="shared" si="133"/>
        <v>3818.4</v>
      </c>
      <c r="AF47" s="115">
        <f>RCFs!C$13</f>
        <v>16.48</v>
      </c>
      <c r="AG47" s="46">
        <f t="shared" si="103"/>
        <v>6300.4</v>
      </c>
      <c r="AH47" s="46">
        <f t="shared" si="103"/>
        <v>8018.6</v>
      </c>
      <c r="AI47" s="46">
        <f t="shared" si="103"/>
        <v>11455.2</v>
      </c>
      <c r="AJ47" s="44">
        <f t="shared" si="134"/>
        <v>3910.3</v>
      </c>
      <c r="AK47" s="115">
        <f>RCFs!C$24</f>
        <v>16.876666666666669</v>
      </c>
      <c r="AL47" s="44">
        <f t="shared" si="135"/>
        <v>5388.6</v>
      </c>
      <c r="AM47" s="115">
        <f>RCFs!$C$28</f>
        <v>23.256666666666668</v>
      </c>
      <c r="AN47" s="44">
        <f t="shared" si="104"/>
        <v>4289.6000000000004</v>
      </c>
      <c r="AO47" s="115">
        <f>RCFs!C$33</f>
        <v>18.513999999999999</v>
      </c>
      <c r="AP47" s="46">
        <f t="shared" si="105"/>
        <v>6434.4</v>
      </c>
      <c r="AQ47" s="44">
        <f t="shared" si="106"/>
        <v>4009.9</v>
      </c>
      <c r="AR47" s="115">
        <f>RCFs!$C$35</f>
        <v>17.306666666666668</v>
      </c>
      <c r="AS47" s="46">
        <f t="shared" si="107"/>
        <v>5212.8</v>
      </c>
      <c r="AT47" s="46">
        <f t="shared" si="107"/>
        <v>5814.3</v>
      </c>
      <c r="AU47" s="44">
        <f t="shared" ref="AU47" si="137">ROUNDDOWN($C47*AV47,1)</f>
        <v>4138.1000000000004</v>
      </c>
      <c r="AV47" s="115">
        <f>RCFs!C$37</f>
        <v>17.86</v>
      </c>
      <c r="AW47" s="44">
        <f t="shared" si="112"/>
        <v>4186.8</v>
      </c>
      <c r="AX47" s="115">
        <f>RCFs!C$64</f>
        <v>18.07</v>
      </c>
      <c r="AY47" s="44">
        <f t="shared" ref="AY47" si="138">ROUNDDOWN($C47*AZ47,1)</f>
        <v>4245.5</v>
      </c>
      <c r="AZ47" s="115">
        <f>RCFs!C$39</f>
        <v>18.323333333333334</v>
      </c>
      <c r="BA47" s="44">
        <f t="shared" ref="BA47" si="139">ROUNDDOWN($C47*BB47,1)</f>
        <v>4073</v>
      </c>
      <c r="BB47" s="115">
        <f>RCFs!$C$41</f>
        <v>17.579000000000001</v>
      </c>
    </row>
    <row r="48" spans="1:54" s="67" customFormat="1" x14ac:dyDescent="0.2">
      <c r="A48" s="65" t="s">
        <v>47</v>
      </c>
      <c r="B48" s="66" t="s">
        <v>48</v>
      </c>
      <c r="C48" s="44">
        <v>58</v>
      </c>
      <c r="D48" s="44">
        <f t="shared" si="96"/>
        <v>3952.2</v>
      </c>
      <c r="E48" s="113">
        <f>RCFs!$C$43</f>
        <v>68.141894999999991</v>
      </c>
      <c r="F48" s="44">
        <f t="shared" si="132"/>
        <v>1019.5</v>
      </c>
      <c r="G48" s="115">
        <f>RCFs!$C$5</f>
        <v>17.577000000000002</v>
      </c>
      <c r="H48" s="44">
        <f t="shared" si="98"/>
        <v>1019.5</v>
      </c>
      <c r="I48" s="115">
        <f>RCFs!$C$5</f>
        <v>17.577000000000002</v>
      </c>
      <c r="J48" s="46">
        <f t="shared" si="99"/>
        <v>1121.4000000000001</v>
      </c>
      <c r="K48" s="46">
        <f t="shared" si="99"/>
        <v>1396.7</v>
      </c>
      <c r="L48" s="46">
        <f t="shared" si="99"/>
        <v>1498.6</v>
      </c>
      <c r="M48" s="46">
        <f t="shared" si="99"/>
        <v>1651.5</v>
      </c>
      <c r="N48" s="46">
        <f t="shared" si="99"/>
        <v>2038.9</v>
      </c>
      <c r="O48" s="46">
        <f t="shared" si="99"/>
        <v>2191.9</v>
      </c>
      <c r="P48" s="46">
        <f t="shared" si="99"/>
        <v>3058.4</v>
      </c>
      <c r="Q48" s="44">
        <f t="shared" si="100"/>
        <v>1024.2</v>
      </c>
      <c r="R48" s="115">
        <f>RCFs!$C$7</f>
        <v>17.66</v>
      </c>
      <c r="S48" s="46">
        <f t="shared" si="101"/>
        <v>1331.4</v>
      </c>
      <c r="T48" s="46">
        <f t="shared" si="101"/>
        <v>1536.3</v>
      </c>
      <c r="U48" s="44">
        <f t="shared" si="108"/>
        <v>987.9</v>
      </c>
      <c r="V48" s="115">
        <f>RCFs!$C$9</f>
        <v>17.033999999999999</v>
      </c>
      <c r="W48" s="44">
        <f t="shared" si="109"/>
        <v>987.9</v>
      </c>
      <c r="X48" s="115">
        <f t="shared" si="110"/>
        <v>17.033999999999999</v>
      </c>
      <c r="Y48" s="46">
        <f t="shared" si="102"/>
        <v>1086.8</v>
      </c>
      <c r="Z48" s="46">
        <f t="shared" si="102"/>
        <v>1353.5</v>
      </c>
      <c r="AA48" s="46">
        <f t="shared" si="102"/>
        <v>1600.5</v>
      </c>
      <c r="AB48" s="46">
        <f t="shared" si="102"/>
        <v>1452.3</v>
      </c>
      <c r="AC48" s="46">
        <f t="shared" si="102"/>
        <v>2143.9</v>
      </c>
      <c r="AD48" s="46">
        <f t="shared" si="102"/>
        <v>2963.9</v>
      </c>
      <c r="AE48" s="44">
        <f t="shared" si="133"/>
        <v>955.8</v>
      </c>
      <c r="AF48" s="115">
        <f>RCFs!C$13</f>
        <v>16.48</v>
      </c>
      <c r="AG48" s="46">
        <f t="shared" si="103"/>
        <v>1577.1</v>
      </c>
      <c r="AH48" s="46">
        <f t="shared" si="103"/>
        <v>2007.2</v>
      </c>
      <c r="AI48" s="46">
        <f t="shared" si="103"/>
        <v>2867.4</v>
      </c>
      <c r="AJ48" s="44">
        <f t="shared" si="134"/>
        <v>978.8</v>
      </c>
      <c r="AK48" s="115">
        <f>RCFs!C$24</f>
        <v>16.876666666666669</v>
      </c>
      <c r="AL48" s="44">
        <f t="shared" si="135"/>
        <v>1348.9</v>
      </c>
      <c r="AM48" s="115">
        <f>RCFs!$C$28</f>
        <v>23.256666666666668</v>
      </c>
      <c r="AN48" s="44">
        <f t="shared" si="104"/>
        <v>1073.8</v>
      </c>
      <c r="AO48" s="115">
        <f>RCFs!C$33</f>
        <v>18.513999999999999</v>
      </c>
      <c r="AP48" s="46">
        <f t="shared" si="105"/>
        <v>1610.7</v>
      </c>
      <c r="AQ48" s="44">
        <f t="shared" si="106"/>
        <v>1003.7</v>
      </c>
      <c r="AR48" s="115">
        <f>RCFs!$C$35</f>
        <v>17.306666666666668</v>
      </c>
      <c r="AS48" s="46">
        <f t="shared" si="107"/>
        <v>1304.8</v>
      </c>
      <c r="AT48" s="46">
        <f t="shared" si="107"/>
        <v>1455.3</v>
      </c>
      <c r="AU48" s="44">
        <f t="shared" ref="AU48" si="140">ROUNDDOWN($C48*AV48,1)</f>
        <v>1035.8</v>
      </c>
      <c r="AV48" s="115">
        <f>RCFs!C$37</f>
        <v>17.86</v>
      </c>
      <c r="AW48" s="44">
        <f t="shared" si="112"/>
        <v>1048</v>
      </c>
      <c r="AX48" s="115">
        <f>RCFs!C$64</f>
        <v>18.07</v>
      </c>
      <c r="AY48" s="44">
        <f t="shared" ref="AY48" si="141">ROUNDDOWN($C48*AZ48,1)</f>
        <v>1062.7</v>
      </c>
      <c r="AZ48" s="115">
        <f>RCFs!C$39</f>
        <v>18.323333333333334</v>
      </c>
      <c r="BA48" s="44">
        <f t="shared" ref="BA48" si="142">ROUNDDOWN($C48*BB48,1)</f>
        <v>1019.5</v>
      </c>
      <c r="BB48" s="115">
        <f>RCFs!$C$41</f>
        <v>17.579000000000001</v>
      </c>
    </row>
    <row r="49" spans="1:54" s="67" customFormat="1" x14ac:dyDescent="0.2">
      <c r="A49" s="65" t="s">
        <v>49</v>
      </c>
      <c r="B49" s="66" t="s">
        <v>50</v>
      </c>
      <c r="C49" s="44">
        <v>35</v>
      </c>
      <c r="D49" s="44">
        <f t="shared" si="96"/>
        <v>2385</v>
      </c>
      <c r="E49" s="113">
        <f>RCFs!$C$43</f>
        <v>68.141894999999991</v>
      </c>
      <c r="F49" s="44">
        <f t="shared" si="132"/>
        <v>615.20000000000005</v>
      </c>
      <c r="G49" s="115">
        <f>RCFs!$C$5</f>
        <v>17.577000000000002</v>
      </c>
      <c r="H49" s="44">
        <f t="shared" si="98"/>
        <v>615.20000000000005</v>
      </c>
      <c r="I49" s="115">
        <f>RCFs!$C$5</f>
        <v>17.577000000000002</v>
      </c>
      <c r="J49" s="46">
        <f t="shared" si="99"/>
        <v>676.7</v>
      </c>
      <c r="K49" s="46">
        <f t="shared" si="99"/>
        <v>842.8</v>
      </c>
      <c r="L49" s="46">
        <f t="shared" si="99"/>
        <v>904.3</v>
      </c>
      <c r="M49" s="46">
        <f t="shared" si="99"/>
        <v>996.6</v>
      </c>
      <c r="N49" s="46">
        <f t="shared" si="99"/>
        <v>1230.4000000000001</v>
      </c>
      <c r="O49" s="46">
        <f t="shared" si="99"/>
        <v>1322.7</v>
      </c>
      <c r="P49" s="46">
        <f t="shared" si="99"/>
        <v>1845.6</v>
      </c>
      <c r="Q49" s="44">
        <f t="shared" si="100"/>
        <v>618.1</v>
      </c>
      <c r="R49" s="115">
        <f>RCFs!$C$7</f>
        <v>17.66</v>
      </c>
      <c r="S49" s="46">
        <f t="shared" si="101"/>
        <v>803.5</v>
      </c>
      <c r="T49" s="46">
        <f t="shared" si="101"/>
        <v>927.1</v>
      </c>
      <c r="U49" s="44">
        <f t="shared" si="108"/>
        <v>596.1</v>
      </c>
      <c r="V49" s="115">
        <f>RCFs!$C$9</f>
        <v>17.033999999999999</v>
      </c>
      <c r="W49" s="44">
        <f t="shared" si="109"/>
        <v>596.1</v>
      </c>
      <c r="X49" s="115">
        <f t="shared" si="110"/>
        <v>17.033999999999999</v>
      </c>
      <c r="Y49" s="46">
        <f t="shared" si="102"/>
        <v>655.8</v>
      </c>
      <c r="Z49" s="46">
        <f t="shared" si="102"/>
        <v>816.8</v>
      </c>
      <c r="AA49" s="46">
        <f t="shared" si="102"/>
        <v>965.8</v>
      </c>
      <c r="AB49" s="46">
        <f t="shared" si="102"/>
        <v>876.4</v>
      </c>
      <c r="AC49" s="46">
        <f t="shared" si="102"/>
        <v>1293.7</v>
      </c>
      <c r="AD49" s="46">
        <f t="shared" si="102"/>
        <v>1788.6</v>
      </c>
      <c r="AE49" s="44">
        <f t="shared" si="133"/>
        <v>576.79999999999995</v>
      </c>
      <c r="AF49" s="115">
        <f>RCFs!C$13</f>
        <v>16.48</v>
      </c>
      <c r="AG49" s="46">
        <f t="shared" si="103"/>
        <v>951.7</v>
      </c>
      <c r="AH49" s="46">
        <f t="shared" si="103"/>
        <v>1211.3</v>
      </c>
      <c r="AI49" s="46">
        <f t="shared" si="103"/>
        <v>1730.4</v>
      </c>
      <c r="AJ49" s="44">
        <f t="shared" si="134"/>
        <v>590.70000000000005</v>
      </c>
      <c r="AK49" s="115">
        <f>RCFs!C$24</f>
        <v>16.876666666666669</v>
      </c>
      <c r="AL49" s="44">
        <f t="shared" si="135"/>
        <v>814</v>
      </c>
      <c r="AM49" s="115">
        <f>RCFs!$C$28</f>
        <v>23.256666666666668</v>
      </c>
      <c r="AN49" s="44">
        <f t="shared" si="104"/>
        <v>647.9</v>
      </c>
      <c r="AO49" s="115">
        <f>RCFs!C$33</f>
        <v>18.513999999999999</v>
      </c>
      <c r="AP49" s="46">
        <f t="shared" si="105"/>
        <v>971.8</v>
      </c>
      <c r="AQ49" s="44">
        <f t="shared" si="106"/>
        <v>605.70000000000005</v>
      </c>
      <c r="AR49" s="115">
        <f>RCFs!$C$35</f>
        <v>17.306666666666668</v>
      </c>
      <c r="AS49" s="46">
        <f t="shared" si="107"/>
        <v>787.4</v>
      </c>
      <c r="AT49" s="46">
        <f t="shared" si="107"/>
        <v>878.2</v>
      </c>
      <c r="AU49" s="44">
        <f t="shared" ref="AU49" si="143">ROUNDDOWN($C49*AV49,1)</f>
        <v>625.1</v>
      </c>
      <c r="AV49" s="115">
        <f>RCFs!C$37</f>
        <v>17.86</v>
      </c>
      <c r="AW49" s="44">
        <f t="shared" si="112"/>
        <v>632.4</v>
      </c>
      <c r="AX49" s="115">
        <f>RCFs!C$64</f>
        <v>18.07</v>
      </c>
      <c r="AY49" s="44">
        <f t="shared" ref="AY49" si="144">ROUNDDOWN($C49*AZ49,1)</f>
        <v>641.29999999999995</v>
      </c>
      <c r="AZ49" s="115">
        <f>RCFs!C$39</f>
        <v>18.323333333333334</v>
      </c>
      <c r="BA49" s="44">
        <f t="shared" ref="BA49" si="145">ROUNDDOWN($C49*BB49,1)</f>
        <v>615.20000000000005</v>
      </c>
      <c r="BB49" s="115">
        <f>RCFs!$C$41</f>
        <v>17.579000000000001</v>
      </c>
    </row>
    <row r="50" spans="1:54" s="67" customFormat="1" x14ac:dyDescent="0.2">
      <c r="A50" s="70" t="s">
        <v>51</v>
      </c>
      <c r="B50" s="66" t="s">
        <v>52</v>
      </c>
      <c r="C50" s="44">
        <v>50</v>
      </c>
      <c r="D50" s="44">
        <f t="shared" si="96"/>
        <v>3407.1</v>
      </c>
      <c r="E50" s="113">
        <f>RCFs!$C$43</f>
        <v>68.141894999999991</v>
      </c>
      <c r="F50" s="44">
        <f t="shared" si="132"/>
        <v>878.9</v>
      </c>
      <c r="G50" s="115">
        <f>RCFs!$C$5</f>
        <v>17.577000000000002</v>
      </c>
      <c r="H50" s="44">
        <f t="shared" si="98"/>
        <v>878.9</v>
      </c>
      <c r="I50" s="115">
        <f>RCFs!$C$5</f>
        <v>17.577000000000002</v>
      </c>
      <c r="J50" s="46">
        <f t="shared" ref="J50:P59" si="146">ROUND($C50*$I50*J$6,1)</f>
        <v>966.7</v>
      </c>
      <c r="K50" s="46">
        <f t="shared" si="146"/>
        <v>1204</v>
      </c>
      <c r="L50" s="46">
        <f t="shared" si="146"/>
        <v>1291.9000000000001</v>
      </c>
      <c r="M50" s="46">
        <f t="shared" si="146"/>
        <v>1423.7</v>
      </c>
      <c r="N50" s="46">
        <f t="shared" si="146"/>
        <v>1757.7</v>
      </c>
      <c r="O50" s="46">
        <f t="shared" si="146"/>
        <v>1889.5</v>
      </c>
      <c r="P50" s="46">
        <f t="shared" si="146"/>
        <v>2636.6</v>
      </c>
      <c r="Q50" s="44">
        <f t="shared" si="100"/>
        <v>883</v>
      </c>
      <c r="R50" s="115">
        <f>RCFs!$C$7</f>
        <v>17.66</v>
      </c>
      <c r="S50" s="46">
        <f t="shared" si="101"/>
        <v>1147.9000000000001</v>
      </c>
      <c r="T50" s="46">
        <f t="shared" si="101"/>
        <v>1324.5</v>
      </c>
      <c r="U50" s="44">
        <f t="shared" si="108"/>
        <v>851.7</v>
      </c>
      <c r="V50" s="115">
        <f>RCFs!$C$9</f>
        <v>17.033999999999999</v>
      </c>
      <c r="W50" s="44">
        <f t="shared" si="109"/>
        <v>851.7</v>
      </c>
      <c r="X50" s="115">
        <f t="shared" si="110"/>
        <v>17.033999999999999</v>
      </c>
      <c r="Y50" s="46">
        <f t="shared" ref="Y50:AD61" si="147">ROUND($C50*$X50*Y$6,1)</f>
        <v>936.9</v>
      </c>
      <c r="Z50" s="46">
        <f t="shared" si="147"/>
        <v>1166.8</v>
      </c>
      <c r="AA50" s="46">
        <f t="shared" si="147"/>
        <v>1379.8</v>
      </c>
      <c r="AB50" s="46">
        <f t="shared" si="147"/>
        <v>1252</v>
      </c>
      <c r="AC50" s="46">
        <f t="shared" si="147"/>
        <v>1848.2</v>
      </c>
      <c r="AD50" s="46">
        <f t="shared" si="147"/>
        <v>2555.1</v>
      </c>
      <c r="AE50" s="44">
        <f t="shared" si="133"/>
        <v>824</v>
      </c>
      <c r="AF50" s="115">
        <f>RCFs!C$13</f>
        <v>16.48</v>
      </c>
      <c r="AG50" s="46">
        <f t="shared" si="103"/>
        <v>1359.6</v>
      </c>
      <c r="AH50" s="46">
        <f t="shared" si="103"/>
        <v>1730.4</v>
      </c>
      <c r="AI50" s="46">
        <f t="shared" si="103"/>
        <v>2472</v>
      </c>
      <c r="AJ50" s="44">
        <f t="shared" si="134"/>
        <v>843.8</v>
      </c>
      <c r="AK50" s="115">
        <f>RCFs!C$24</f>
        <v>16.876666666666669</v>
      </c>
      <c r="AL50" s="44">
        <f t="shared" si="135"/>
        <v>1162.8</v>
      </c>
      <c r="AM50" s="115">
        <f>RCFs!$C$28</f>
        <v>23.256666666666668</v>
      </c>
      <c r="AN50" s="44">
        <f t="shared" si="104"/>
        <v>925.7</v>
      </c>
      <c r="AO50" s="115">
        <f>RCFs!C$33</f>
        <v>18.513999999999999</v>
      </c>
      <c r="AP50" s="46">
        <f t="shared" si="105"/>
        <v>1388.5</v>
      </c>
      <c r="AQ50" s="44">
        <f t="shared" si="106"/>
        <v>865.3</v>
      </c>
      <c r="AR50" s="115">
        <f>RCFs!$C$35</f>
        <v>17.306666666666668</v>
      </c>
      <c r="AS50" s="46">
        <f t="shared" si="107"/>
        <v>1124.8</v>
      </c>
      <c r="AT50" s="46">
        <f t="shared" si="107"/>
        <v>1254.5999999999999</v>
      </c>
      <c r="AU50" s="44">
        <f t="shared" ref="AU50" si="148">ROUNDDOWN($C50*AV50,1)</f>
        <v>893</v>
      </c>
      <c r="AV50" s="115">
        <f>RCFs!C$37</f>
        <v>17.86</v>
      </c>
      <c r="AW50" s="44">
        <f t="shared" si="112"/>
        <v>903.5</v>
      </c>
      <c r="AX50" s="115">
        <f>RCFs!C$64</f>
        <v>18.07</v>
      </c>
      <c r="AY50" s="44">
        <f t="shared" ref="AY50" si="149">ROUNDDOWN($C50*AZ50,1)</f>
        <v>916.1</v>
      </c>
      <c r="AZ50" s="115">
        <f>RCFs!C$39</f>
        <v>18.323333333333334</v>
      </c>
      <c r="BA50" s="44">
        <f t="shared" ref="BA50" si="150">ROUNDDOWN($C50*BB50,1)</f>
        <v>878.9</v>
      </c>
      <c r="BB50" s="115">
        <f>RCFs!$C$41</f>
        <v>17.579000000000001</v>
      </c>
    </row>
    <row r="51" spans="1:54" s="67" customFormat="1" ht="25.5" x14ac:dyDescent="0.2">
      <c r="A51" s="65" t="s">
        <v>53</v>
      </c>
      <c r="B51" s="66" t="s">
        <v>54</v>
      </c>
      <c r="C51" s="44">
        <v>252.2</v>
      </c>
      <c r="D51" s="44">
        <f t="shared" si="96"/>
        <v>17185.400000000001</v>
      </c>
      <c r="E51" s="113">
        <f>RCFs!$C$43</f>
        <v>68.141894999999991</v>
      </c>
      <c r="F51" s="44">
        <f t="shared" si="132"/>
        <v>4432.8999999999996</v>
      </c>
      <c r="G51" s="115">
        <f>RCFs!$C$5</f>
        <v>17.577000000000002</v>
      </c>
      <c r="H51" s="44">
        <f t="shared" si="98"/>
        <v>4432.8999999999996</v>
      </c>
      <c r="I51" s="115">
        <f>RCFs!$C$5</f>
        <v>17.577000000000002</v>
      </c>
      <c r="J51" s="46">
        <f t="shared" si="146"/>
        <v>4876.2</v>
      </c>
      <c r="K51" s="46">
        <f t="shared" si="146"/>
        <v>6073.1</v>
      </c>
      <c r="L51" s="46">
        <f t="shared" si="146"/>
        <v>6516.4</v>
      </c>
      <c r="M51" s="46">
        <f t="shared" si="146"/>
        <v>7181.3</v>
      </c>
      <c r="N51" s="46">
        <f t="shared" si="146"/>
        <v>8865.7999999999993</v>
      </c>
      <c r="O51" s="46">
        <f t="shared" si="146"/>
        <v>9530.7999999999993</v>
      </c>
      <c r="P51" s="46">
        <f t="shared" si="146"/>
        <v>13298.8</v>
      </c>
      <c r="Q51" s="44">
        <f t="shared" si="100"/>
        <v>4453.8</v>
      </c>
      <c r="R51" s="115">
        <f>RCFs!$C$7</f>
        <v>17.66</v>
      </c>
      <c r="S51" s="46">
        <f t="shared" si="101"/>
        <v>5789.9</v>
      </c>
      <c r="T51" s="46">
        <f t="shared" si="101"/>
        <v>6680.7</v>
      </c>
      <c r="U51" s="44">
        <f t="shared" si="108"/>
        <v>4295.8999999999996</v>
      </c>
      <c r="V51" s="115">
        <f>RCFs!$C$9</f>
        <v>17.033999999999999</v>
      </c>
      <c r="W51" s="44">
        <f t="shared" si="109"/>
        <v>4295.8999999999996</v>
      </c>
      <c r="X51" s="115">
        <f t="shared" si="110"/>
        <v>17.033999999999999</v>
      </c>
      <c r="Y51" s="46">
        <f t="shared" si="147"/>
        <v>4725.6000000000004</v>
      </c>
      <c r="Z51" s="46">
        <f t="shared" si="147"/>
        <v>5885.5</v>
      </c>
      <c r="AA51" s="46">
        <f t="shared" si="147"/>
        <v>6959.5</v>
      </c>
      <c r="AB51" s="46">
        <f t="shared" si="147"/>
        <v>6315.1</v>
      </c>
      <c r="AC51" s="46">
        <f t="shared" si="147"/>
        <v>9322.2999999999993</v>
      </c>
      <c r="AD51" s="46">
        <f t="shared" si="147"/>
        <v>12887.9</v>
      </c>
      <c r="AE51" s="44">
        <f t="shared" si="133"/>
        <v>4156.3</v>
      </c>
      <c r="AF51" s="115">
        <f>RCFs!C$13</f>
        <v>16.48</v>
      </c>
      <c r="AG51" s="46">
        <f t="shared" si="103"/>
        <v>6857.9</v>
      </c>
      <c r="AH51" s="46">
        <f t="shared" si="103"/>
        <v>8728.2000000000007</v>
      </c>
      <c r="AI51" s="46">
        <f t="shared" si="103"/>
        <v>12468.9</v>
      </c>
      <c r="AJ51" s="44">
        <f t="shared" si="134"/>
        <v>4256.3</v>
      </c>
      <c r="AK51" s="115">
        <f>RCFs!C$24</f>
        <v>16.876666666666669</v>
      </c>
      <c r="AL51" s="44">
        <f t="shared" si="135"/>
        <v>5865.3</v>
      </c>
      <c r="AM51" s="115">
        <f>RCFs!$C$28</f>
        <v>23.256666666666668</v>
      </c>
      <c r="AN51" s="44">
        <f t="shared" si="104"/>
        <v>4669.2</v>
      </c>
      <c r="AO51" s="115">
        <f>RCFs!C$33</f>
        <v>18.513999999999999</v>
      </c>
      <c r="AP51" s="46">
        <f t="shared" si="105"/>
        <v>7003.8</v>
      </c>
      <c r="AQ51" s="44">
        <f t="shared" si="106"/>
        <v>4364.7</v>
      </c>
      <c r="AR51" s="115">
        <f>RCFs!$C$35</f>
        <v>17.306666666666668</v>
      </c>
      <c r="AS51" s="46">
        <f t="shared" si="107"/>
        <v>5674.1</v>
      </c>
      <c r="AT51" s="46">
        <f t="shared" si="107"/>
        <v>6328.8</v>
      </c>
      <c r="AU51" s="44">
        <f t="shared" ref="AU51" si="151">ROUNDDOWN($C51*AV51,1)</f>
        <v>4504.2</v>
      </c>
      <c r="AV51" s="115">
        <f>RCFs!C$37</f>
        <v>17.86</v>
      </c>
      <c r="AW51" s="44">
        <f t="shared" si="112"/>
        <v>4557.2</v>
      </c>
      <c r="AX51" s="115">
        <f>RCFs!C$64</f>
        <v>18.07</v>
      </c>
      <c r="AY51" s="44">
        <f t="shared" ref="AY51" si="152">ROUNDDOWN($C51*AZ51,1)</f>
        <v>4621.1000000000004</v>
      </c>
      <c r="AZ51" s="115">
        <f>RCFs!C$39</f>
        <v>18.323333333333334</v>
      </c>
      <c r="BA51" s="44">
        <f t="shared" ref="BA51" si="153">ROUNDDOWN($C51*BB51,1)</f>
        <v>4433.3999999999996</v>
      </c>
      <c r="BB51" s="115">
        <f>RCFs!$C$41</f>
        <v>17.579000000000001</v>
      </c>
    </row>
    <row r="52" spans="1:54" s="67" customFormat="1" ht="25.5" x14ac:dyDescent="0.2">
      <c r="A52" s="65" t="s">
        <v>55</v>
      </c>
      <c r="B52" s="66" t="s">
        <v>56</v>
      </c>
      <c r="C52" s="44">
        <v>355</v>
      </c>
      <c r="D52" s="44">
        <f t="shared" si="96"/>
        <v>24190.400000000001</v>
      </c>
      <c r="E52" s="113">
        <f>RCFs!$C$43</f>
        <v>68.141894999999991</v>
      </c>
      <c r="F52" s="44">
        <f t="shared" si="132"/>
        <v>6239.8</v>
      </c>
      <c r="G52" s="115">
        <f>RCFs!$C$5</f>
        <v>17.577000000000002</v>
      </c>
      <c r="H52" s="44">
        <f t="shared" si="98"/>
        <v>6239.8</v>
      </c>
      <c r="I52" s="115">
        <f>RCFs!$C$5</f>
        <v>17.577000000000002</v>
      </c>
      <c r="J52" s="46">
        <f t="shared" si="146"/>
        <v>6863.8</v>
      </c>
      <c r="K52" s="46">
        <f t="shared" si="146"/>
        <v>8548.6</v>
      </c>
      <c r="L52" s="46">
        <f t="shared" si="146"/>
        <v>9172.6</v>
      </c>
      <c r="M52" s="46">
        <f t="shared" si="146"/>
        <v>10108.5</v>
      </c>
      <c r="N52" s="46">
        <f t="shared" si="146"/>
        <v>12479.7</v>
      </c>
      <c r="O52" s="46">
        <f t="shared" si="146"/>
        <v>13415.6</v>
      </c>
      <c r="P52" s="46">
        <f t="shared" si="146"/>
        <v>18719.5</v>
      </c>
      <c r="Q52" s="44">
        <f t="shared" si="100"/>
        <v>6269.3</v>
      </c>
      <c r="R52" s="115">
        <f>RCFs!$C$7</f>
        <v>17.66</v>
      </c>
      <c r="S52" s="46">
        <f t="shared" si="101"/>
        <v>8150</v>
      </c>
      <c r="T52" s="46">
        <f t="shared" si="101"/>
        <v>9403.9</v>
      </c>
      <c r="U52" s="44">
        <f t="shared" si="108"/>
        <v>6047</v>
      </c>
      <c r="V52" s="115">
        <f>RCFs!$C$9</f>
        <v>17.033999999999999</v>
      </c>
      <c r="W52" s="44">
        <f t="shared" si="109"/>
        <v>6047</v>
      </c>
      <c r="X52" s="115">
        <f t="shared" si="110"/>
        <v>17.033999999999999</v>
      </c>
      <c r="Y52" s="46">
        <f t="shared" si="147"/>
        <v>6651.8</v>
      </c>
      <c r="Z52" s="46">
        <f t="shared" si="147"/>
        <v>8284.5</v>
      </c>
      <c r="AA52" s="46">
        <f t="shared" si="147"/>
        <v>9796.2999999999993</v>
      </c>
      <c r="AB52" s="46">
        <f t="shared" si="147"/>
        <v>8889.2000000000007</v>
      </c>
      <c r="AC52" s="46">
        <f t="shared" si="147"/>
        <v>13122.1</v>
      </c>
      <c r="AD52" s="46">
        <f t="shared" si="147"/>
        <v>18141.2</v>
      </c>
      <c r="AE52" s="44">
        <f t="shared" si="133"/>
        <v>5850.4</v>
      </c>
      <c r="AF52" s="115">
        <f>RCFs!C$13</f>
        <v>16.48</v>
      </c>
      <c r="AG52" s="46">
        <f t="shared" si="103"/>
        <v>9653.2000000000007</v>
      </c>
      <c r="AH52" s="46">
        <f t="shared" si="103"/>
        <v>12285.8</v>
      </c>
      <c r="AI52" s="46">
        <f t="shared" si="103"/>
        <v>17551.2</v>
      </c>
      <c r="AJ52" s="44">
        <f t="shared" si="134"/>
        <v>5991.2</v>
      </c>
      <c r="AK52" s="115">
        <f>RCFs!C$24</f>
        <v>16.876666666666669</v>
      </c>
      <c r="AL52" s="44">
        <f t="shared" si="135"/>
        <v>8256.1</v>
      </c>
      <c r="AM52" s="115">
        <f>RCFs!$C$28</f>
        <v>23.256666666666668</v>
      </c>
      <c r="AN52" s="44">
        <f t="shared" si="104"/>
        <v>6572.4</v>
      </c>
      <c r="AO52" s="115">
        <f>RCFs!C$33</f>
        <v>18.513999999999999</v>
      </c>
      <c r="AP52" s="46">
        <f t="shared" si="105"/>
        <v>9858.6</v>
      </c>
      <c r="AQ52" s="44">
        <f t="shared" si="106"/>
        <v>6143.8</v>
      </c>
      <c r="AR52" s="115">
        <f>RCFs!$C$35</f>
        <v>17.306666666666668</v>
      </c>
      <c r="AS52" s="46">
        <f t="shared" si="107"/>
        <v>7986.9</v>
      </c>
      <c r="AT52" s="46">
        <f t="shared" si="107"/>
        <v>8908.5</v>
      </c>
      <c r="AU52" s="44">
        <f t="shared" ref="AU52" si="154">ROUNDDOWN($C52*AV52,1)</f>
        <v>6340.3</v>
      </c>
      <c r="AV52" s="115">
        <f>RCFs!C$37</f>
        <v>17.86</v>
      </c>
      <c r="AW52" s="44">
        <f t="shared" si="112"/>
        <v>6414.8</v>
      </c>
      <c r="AX52" s="115">
        <f>RCFs!C$64</f>
        <v>18.07</v>
      </c>
      <c r="AY52" s="44">
        <f t="shared" ref="AY52" si="155">ROUNDDOWN($C52*AZ52,1)</f>
        <v>6504.7</v>
      </c>
      <c r="AZ52" s="115">
        <f>RCFs!C$39</f>
        <v>18.323333333333334</v>
      </c>
      <c r="BA52" s="44">
        <f t="shared" ref="BA52" si="156">ROUNDDOWN($C52*BB52,1)</f>
        <v>6240.5</v>
      </c>
      <c r="BB52" s="115">
        <f>RCFs!$C$41</f>
        <v>17.579000000000001</v>
      </c>
    </row>
    <row r="53" spans="1:54" s="67" customFormat="1" ht="25.5" x14ac:dyDescent="0.2">
      <c r="A53" s="68" t="s">
        <v>57</v>
      </c>
      <c r="B53" s="69" t="s">
        <v>58</v>
      </c>
      <c r="C53" s="44">
        <v>200</v>
      </c>
      <c r="D53" s="44">
        <f t="shared" si="96"/>
        <v>13628.4</v>
      </c>
      <c r="E53" s="113">
        <f>RCFs!$C$43</f>
        <v>68.141894999999991</v>
      </c>
      <c r="F53" s="44">
        <f t="shared" si="132"/>
        <v>3515.4</v>
      </c>
      <c r="G53" s="115">
        <f>RCFs!$C$5</f>
        <v>17.577000000000002</v>
      </c>
      <c r="H53" s="44">
        <f t="shared" si="98"/>
        <v>3515.4</v>
      </c>
      <c r="I53" s="115">
        <f>RCFs!$C$5</f>
        <v>17.577000000000002</v>
      </c>
      <c r="J53" s="46">
        <f t="shared" si="146"/>
        <v>3866.9</v>
      </c>
      <c r="K53" s="46">
        <f t="shared" si="146"/>
        <v>4816.1000000000004</v>
      </c>
      <c r="L53" s="46">
        <f t="shared" si="146"/>
        <v>5167.6000000000004</v>
      </c>
      <c r="M53" s="46">
        <f t="shared" si="146"/>
        <v>5694.9</v>
      </c>
      <c r="N53" s="46">
        <f t="shared" si="146"/>
        <v>7030.8</v>
      </c>
      <c r="O53" s="46">
        <f t="shared" si="146"/>
        <v>7558.1</v>
      </c>
      <c r="P53" s="46">
        <f t="shared" si="146"/>
        <v>10546.2</v>
      </c>
      <c r="Q53" s="44">
        <f t="shared" si="100"/>
        <v>3532</v>
      </c>
      <c r="R53" s="115">
        <f>RCFs!$C$7</f>
        <v>17.66</v>
      </c>
      <c r="S53" s="46">
        <f t="shared" si="101"/>
        <v>4591.6000000000004</v>
      </c>
      <c r="T53" s="46">
        <f t="shared" si="101"/>
        <v>5298</v>
      </c>
      <c r="U53" s="44">
        <f t="shared" si="108"/>
        <v>3406.8</v>
      </c>
      <c r="V53" s="115">
        <f>RCFs!$C$9</f>
        <v>17.033999999999999</v>
      </c>
      <c r="W53" s="44">
        <f t="shared" si="109"/>
        <v>3406.8</v>
      </c>
      <c r="X53" s="115">
        <f t="shared" si="110"/>
        <v>17.033999999999999</v>
      </c>
      <c r="Y53" s="46">
        <f t="shared" si="147"/>
        <v>3747.5</v>
      </c>
      <c r="Z53" s="46">
        <f t="shared" si="147"/>
        <v>4667.3</v>
      </c>
      <c r="AA53" s="46">
        <f t="shared" si="147"/>
        <v>5519</v>
      </c>
      <c r="AB53" s="46">
        <f t="shared" si="147"/>
        <v>5008</v>
      </c>
      <c r="AC53" s="46">
        <f t="shared" si="147"/>
        <v>7392.8</v>
      </c>
      <c r="AD53" s="46">
        <f t="shared" si="147"/>
        <v>10220.4</v>
      </c>
      <c r="AE53" s="44">
        <f t="shared" si="133"/>
        <v>3296</v>
      </c>
      <c r="AF53" s="115">
        <f>RCFs!C$13</f>
        <v>16.48</v>
      </c>
      <c r="AG53" s="46">
        <f t="shared" si="103"/>
        <v>5438.4</v>
      </c>
      <c r="AH53" s="46">
        <f t="shared" si="103"/>
        <v>6921.6</v>
      </c>
      <c r="AI53" s="46">
        <f t="shared" si="103"/>
        <v>9888</v>
      </c>
      <c r="AJ53" s="44">
        <f t="shared" si="134"/>
        <v>3375.3</v>
      </c>
      <c r="AK53" s="115">
        <f>RCFs!C$24</f>
        <v>16.876666666666669</v>
      </c>
      <c r="AL53" s="44">
        <f t="shared" si="135"/>
        <v>4651.3</v>
      </c>
      <c r="AM53" s="115">
        <f>RCFs!$C$28</f>
        <v>23.256666666666668</v>
      </c>
      <c r="AN53" s="44">
        <f t="shared" si="104"/>
        <v>3702.8</v>
      </c>
      <c r="AO53" s="115">
        <f>RCFs!C$33</f>
        <v>18.513999999999999</v>
      </c>
      <c r="AP53" s="46">
        <f t="shared" si="105"/>
        <v>5554.2</v>
      </c>
      <c r="AQ53" s="44">
        <f t="shared" si="106"/>
        <v>3461.3</v>
      </c>
      <c r="AR53" s="115">
        <f>RCFs!$C$35</f>
        <v>17.306666666666668</v>
      </c>
      <c r="AS53" s="46">
        <f t="shared" si="107"/>
        <v>4499.6000000000004</v>
      </c>
      <c r="AT53" s="46">
        <f t="shared" si="107"/>
        <v>5018.8</v>
      </c>
      <c r="AU53" s="44">
        <f t="shared" ref="AU53" si="157">ROUNDDOWN($C53*AV53,1)</f>
        <v>3572</v>
      </c>
      <c r="AV53" s="115">
        <f>RCFs!C$37</f>
        <v>17.86</v>
      </c>
      <c r="AW53" s="44">
        <f t="shared" si="112"/>
        <v>3614</v>
      </c>
      <c r="AX53" s="115">
        <f>RCFs!C$64</f>
        <v>18.07</v>
      </c>
      <c r="AY53" s="44">
        <f t="shared" ref="AY53" si="158">ROUNDDOWN($C53*AZ53,1)</f>
        <v>3664.6</v>
      </c>
      <c r="AZ53" s="115">
        <f>RCFs!C$39</f>
        <v>18.323333333333334</v>
      </c>
      <c r="BA53" s="44">
        <f t="shared" ref="BA53" si="159">ROUNDDOWN($C53*BB53,1)</f>
        <v>3515.8</v>
      </c>
      <c r="BB53" s="115">
        <f>RCFs!$C$41</f>
        <v>17.579000000000001</v>
      </c>
    </row>
    <row r="54" spans="1:54" s="67" customFormat="1" ht="25.5" x14ac:dyDescent="0.2">
      <c r="A54" s="65" t="s">
        <v>59</v>
      </c>
      <c r="B54" s="66" t="s">
        <v>60</v>
      </c>
      <c r="C54" s="44">
        <v>94</v>
      </c>
      <c r="D54" s="44">
        <f t="shared" si="96"/>
        <v>6405.3</v>
      </c>
      <c r="E54" s="113">
        <f>RCFs!$C$43</f>
        <v>68.141894999999991</v>
      </c>
      <c r="F54" s="44">
        <f t="shared" si="132"/>
        <v>1652.2</v>
      </c>
      <c r="G54" s="115">
        <f>RCFs!$C$5</f>
        <v>17.577000000000002</v>
      </c>
      <c r="H54" s="44">
        <f t="shared" si="98"/>
        <v>1652.2</v>
      </c>
      <c r="I54" s="115">
        <f>RCFs!$C$5</f>
        <v>17.577000000000002</v>
      </c>
      <c r="J54" s="46">
        <f t="shared" si="146"/>
        <v>1817.5</v>
      </c>
      <c r="K54" s="46">
        <f t="shared" si="146"/>
        <v>2263.6</v>
      </c>
      <c r="L54" s="46">
        <f t="shared" si="146"/>
        <v>2428.8000000000002</v>
      </c>
      <c r="M54" s="46">
        <f t="shared" si="146"/>
        <v>2676.6</v>
      </c>
      <c r="N54" s="46">
        <f t="shared" si="146"/>
        <v>3304.5</v>
      </c>
      <c r="O54" s="46">
        <f t="shared" si="146"/>
        <v>3552.3</v>
      </c>
      <c r="P54" s="46">
        <f t="shared" si="146"/>
        <v>4956.7</v>
      </c>
      <c r="Q54" s="44">
        <f t="shared" si="100"/>
        <v>1660</v>
      </c>
      <c r="R54" s="115">
        <f>RCFs!$C$7</f>
        <v>17.66</v>
      </c>
      <c r="S54" s="46">
        <f t="shared" si="101"/>
        <v>2158</v>
      </c>
      <c r="T54" s="46">
        <f t="shared" si="101"/>
        <v>2490</v>
      </c>
      <c r="U54" s="44">
        <f t="shared" si="108"/>
        <v>1601.1</v>
      </c>
      <c r="V54" s="115">
        <f>RCFs!$C$9</f>
        <v>17.033999999999999</v>
      </c>
      <c r="W54" s="44">
        <f t="shared" si="109"/>
        <v>1601.1</v>
      </c>
      <c r="X54" s="115">
        <f t="shared" si="110"/>
        <v>17.033999999999999</v>
      </c>
      <c r="Y54" s="46">
        <f t="shared" si="147"/>
        <v>1761.3</v>
      </c>
      <c r="Z54" s="46">
        <f t="shared" si="147"/>
        <v>2193.6</v>
      </c>
      <c r="AA54" s="46">
        <f t="shared" si="147"/>
        <v>2593.9</v>
      </c>
      <c r="AB54" s="46">
        <f t="shared" si="147"/>
        <v>2353.8000000000002</v>
      </c>
      <c r="AC54" s="46">
        <f t="shared" si="147"/>
        <v>3474.6</v>
      </c>
      <c r="AD54" s="46">
        <f t="shared" si="147"/>
        <v>4803.6000000000004</v>
      </c>
      <c r="AE54" s="44">
        <f t="shared" si="133"/>
        <v>1549.1</v>
      </c>
      <c r="AF54" s="115">
        <f>RCFs!C$13</f>
        <v>16.48</v>
      </c>
      <c r="AG54" s="46">
        <f t="shared" si="103"/>
        <v>2556</v>
      </c>
      <c r="AH54" s="46">
        <f t="shared" si="103"/>
        <v>3253.1</v>
      </c>
      <c r="AI54" s="46">
        <f t="shared" si="103"/>
        <v>4647.3</v>
      </c>
      <c r="AJ54" s="44">
        <f t="shared" si="134"/>
        <v>1586.4</v>
      </c>
      <c r="AK54" s="115">
        <f>RCFs!C$24</f>
        <v>16.876666666666669</v>
      </c>
      <c r="AL54" s="44">
        <f t="shared" si="135"/>
        <v>2186.1</v>
      </c>
      <c r="AM54" s="115">
        <f>RCFs!$C$28</f>
        <v>23.256666666666668</v>
      </c>
      <c r="AN54" s="44">
        <f t="shared" si="104"/>
        <v>1740.3</v>
      </c>
      <c r="AO54" s="115">
        <f>RCFs!C$33</f>
        <v>18.513999999999999</v>
      </c>
      <c r="AP54" s="46">
        <f t="shared" si="105"/>
        <v>2610.4</v>
      </c>
      <c r="AQ54" s="44">
        <f t="shared" si="106"/>
        <v>1626.8</v>
      </c>
      <c r="AR54" s="115">
        <f>RCFs!$C$35</f>
        <v>17.306666666666668</v>
      </c>
      <c r="AS54" s="46">
        <f t="shared" si="107"/>
        <v>2114.8000000000002</v>
      </c>
      <c r="AT54" s="46">
        <f t="shared" si="107"/>
        <v>2358.8000000000002</v>
      </c>
      <c r="AU54" s="44">
        <f t="shared" ref="AU54" si="160">ROUNDDOWN($C54*AV54,1)</f>
        <v>1678.8</v>
      </c>
      <c r="AV54" s="115">
        <f>RCFs!C$37</f>
        <v>17.86</v>
      </c>
      <c r="AW54" s="44">
        <f t="shared" si="112"/>
        <v>1698.5</v>
      </c>
      <c r="AX54" s="115">
        <f>RCFs!C$64</f>
        <v>18.07</v>
      </c>
      <c r="AY54" s="44">
        <f t="shared" ref="AY54" si="161">ROUNDDOWN($C54*AZ54,1)</f>
        <v>1722.3</v>
      </c>
      <c r="AZ54" s="115">
        <f>RCFs!C$39</f>
        <v>18.323333333333334</v>
      </c>
      <c r="BA54" s="44">
        <f t="shared" ref="BA54" si="162">ROUNDDOWN($C54*BB54,1)</f>
        <v>1652.4</v>
      </c>
      <c r="BB54" s="115">
        <f>RCFs!$C$41</f>
        <v>17.579000000000001</v>
      </c>
    </row>
    <row r="55" spans="1:54" s="67" customFormat="1" x14ac:dyDescent="0.2">
      <c r="A55" s="65" t="s">
        <v>61</v>
      </c>
      <c r="B55" s="66" t="s">
        <v>62</v>
      </c>
      <c r="C55" s="44">
        <v>94.4</v>
      </c>
      <c r="D55" s="44">
        <f t="shared" si="96"/>
        <v>6432.6</v>
      </c>
      <c r="E55" s="113">
        <f>RCFs!$C$43</f>
        <v>68.141894999999991</v>
      </c>
      <c r="F55" s="44">
        <f t="shared" si="132"/>
        <v>1659.3</v>
      </c>
      <c r="G55" s="115">
        <f>RCFs!$C$5</f>
        <v>17.577000000000002</v>
      </c>
      <c r="H55" s="44">
        <f t="shared" si="98"/>
        <v>1659.3</v>
      </c>
      <c r="I55" s="115">
        <f>RCFs!$C$5</f>
        <v>17.577000000000002</v>
      </c>
      <c r="J55" s="46">
        <f t="shared" si="146"/>
        <v>1825.2</v>
      </c>
      <c r="K55" s="46">
        <f t="shared" si="146"/>
        <v>2273.1999999999998</v>
      </c>
      <c r="L55" s="46">
        <f t="shared" si="146"/>
        <v>2439.1</v>
      </c>
      <c r="M55" s="46">
        <f t="shared" si="146"/>
        <v>2688</v>
      </c>
      <c r="N55" s="46">
        <f t="shared" si="146"/>
        <v>3318.5</v>
      </c>
      <c r="O55" s="46">
        <f t="shared" si="146"/>
        <v>3567.4</v>
      </c>
      <c r="P55" s="46">
        <f t="shared" si="146"/>
        <v>4977.8</v>
      </c>
      <c r="Q55" s="44">
        <f t="shared" si="100"/>
        <v>1667.1</v>
      </c>
      <c r="R55" s="115">
        <f>RCFs!$C$7</f>
        <v>17.66</v>
      </c>
      <c r="S55" s="46">
        <f t="shared" si="101"/>
        <v>2167.1999999999998</v>
      </c>
      <c r="T55" s="46">
        <f t="shared" si="101"/>
        <v>2500.6</v>
      </c>
      <c r="U55" s="44">
        <f t="shared" si="108"/>
        <v>1608</v>
      </c>
      <c r="V55" s="115">
        <f>RCFs!$C$9</f>
        <v>17.033999999999999</v>
      </c>
      <c r="W55" s="44">
        <f t="shared" si="109"/>
        <v>1608</v>
      </c>
      <c r="X55" s="115">
        <f t="shared" si="110"/>
        <v>17.033999999999999</v>
      </c>
      <c r="Y55" s="46">
        <f t="shared" si="147"/>
        <v>1768.8</v>
      </c>
      <c r="Z55" s="46">
        <f t="shared" si="147"/>
        <v>2203</v>
      </c>
      <c r="AA55" s="46">
        <f t="shared" si="147"/>
        <v>2605</v>
      </c>
      <c r="AB55" s="46">
        <f t="shared" si="147"/>
        <v>2363.8000000000002</v>
      </c>
      <c r="AC55" s="46">
        <f t="shared" si="147"/>
        <v>3489.4</v>
      </c>
      <c r="AD55" s="46">
        <f t="shared" si="147"/>
        <v>4824</v>
      </c>
      <c r="AE55" s="44">
        <f t="shared" si="133"/>
        <v>1555.7</v>
      </c>
      <c r="AF55" s="115">
        <f>RCFs!C$13</f>
        <v>16.48</v>
      </c>
      <c r="AG55" s="46">
        <f t="shared" si="103"/>
        <v>2566.9</v>
      </c>
      <c r="AH55" s="46">
        <f t="shared" si="103"/>
        <v>3267</v>
      </c>
      <c r="AI55" s="46">
        <f t="shared" si="103"/>
        <v>4667.1000000000004</v>
      </c>
      <c r="AJ55" s="44">
        <f t="shared" si="134"/>
        <v>1593.2</v>
      </c>
      <c r="AK55" s="115">
        <f>RCFs!C$24</f>
        <v>16.876666666666669</v>
      </c>
      <c r="AL55" s="44">
        <f t="shared" si="135"/>
        <v>2195.4</v>
      </c>
      <c r="AM55" s="115">
        <f>RCFs!$C$28</f>
        <v>23.256666666666668</v>
      </c>
      <c r="AN55" s="44">
        <f t="shared" si="104"/>
        <v>1747.7</v>
      </c>
      <c r="AO55" s="115">
        <f>RCFs!C$33</f>
        <v>18.513999999999999</v>
      </c>
      <c r="AP55" s="46">
        <f t="shared" si="105"/>
        <v>2621.5</v>
      </c>
      <c r="AQ55" s="44">
        <f t="shared" si="106"/>
        <v>1633.7</v>
      </c>
      <c r="AR55" s="115">
        <f>RCFs!$C$35</f>
        <v>17.306666666666668</v>
      </c>
      <c r="AS55" s="46">
        <f t="shared" si="107"/>
        <v>2123.8000000000002</v>
      </c>
      <c r="AT55" s="46">
        <f t="shared" si="107"/>
        <v>2368.8000000000002</v>
      </c>
      <c r="AU55" s="44">
        <f t="shared" ref="AU55" si="163">ROUNDDOWN($C55*AV55,1)</f>
        <v>1685.9</v>
      </c>
      <c r="AV55" s="115">
        <f>RCFs!C$37</f>
        <v>17.86</v>
      </c>
      <c r="AW55" s="44">
        <f t="shared" si="112"/>
        <v>1705.8</v>
      </c>
      <c r="AX55" s="115">
        <f>RCFs!C$64</f>
        <v>18.07</v>
      </c>
      <c r="AY55" s="44">
        <f t="shared" ref="AY55" si="164">ROUNDDOWN($C55*AZ55,1)</f>
        <v>1729.7</v>
      </c>
      <c r="AZ55" s="115">
        <f>RCFs!C$39</f>
        <v>18.323333333333334</v>
      </c>
      <c r="BA55" s="44">
        <f t="shared" ref="BA55" si="165">ROUNDDOWN($C55*BB55,1)</f>
        <v>1659.4</v>
      </c>
      <c r="BB55" s="115">
        <f>RCFs!$C$41</f>
        <v>17.579000000000001</v>
      </c>
    </row>
    <row r="56" spans="1:54" s="67" customFormat="1" x14ac:dyDescent="0.2">
      <c r="A56" s="65" t="s">
        <v>63</v>
      </c>
      <c r="B56" s="66" t="s">
        <v>64</v>
      </c>
      <c r="C56" s="44">
        <v>40</v>
      </c>
      <c r="D56" s="44">
        <f t="shared" si="96"/>
        <v>2725.7</v>
      </c>
      <c r="E56" s="113">
        <f>RCFs!$C$43</f>
        <v>68.141894999999991</v>
      </c>
      <c r="F56" s="44">
        <f t="shared" si="132"/>
        <v>703.1</v>
      </c>
      <c r="G56" s="115">
        <f>RCFs!$C$5</f>
        <v>17.577000000000002</v>
      </c>
      <c r="H56" s="44">
        <f t="shared" si="98"/>
        <v>703.1</v>
      </c>
      <c r="I56" s="115">
        <f>RCFs!$C$5</f>
        <v>17.577000000000002</v>
      </c>
      <c r="J56" s="46">
        <f t="shared" si="146"/>
        <v>773.4</v>
      </c>
      <c r="K56" s="46">
        <f t="shared" si="146"/>
        <v>963.2</v>
      </c>
      <c r="L56" s="46">
        <f t="shared" si="146"/>
        <v>1033.5</v>
      </c>
      <c r="M56" s="46">
        <f t="shared" si="146"/>
        <v>1139</v>
      </c>
      <c r="N56" s="46">
        <f t="shared" si="146"/>
        <v>1406.2</v>
      </c>
      <c r="O56" s="46">
        <f t="shared" si="146"/>
        <v>1511.6</v>
      </c>
      <c r="P56" s="46">
        <f t="shared" si="146"/>
        <v>2109.1999999999998</v>
      </c>
      <c r="Q56" s="44">
        <f t="shared" si="100"/>
        <v>706.4</v>
      </c>
      <c r="R56" s="115">
        <f>RCFs!$C$7</f>
        <v>17.66</v>
      </c>
      <c r="S56" s="46">
        <f t="shared" ref="S56:T71" si="166">ROUNDDOWN($Q56*S$6,1)</f>
        <v>918.3</v>
      </c>
      <c r="T56" s="46">
        <f t="shared" si="166"/>
        <v>1059.5999999999999</v>
      </c>
      <c r="U56" s="44">
        <f t="shared" si="108"/>
        <v>681.3</v>
      </c>
      <c r="V56" s="115">
        <f>RCFs!$C$9</f>
        <v>17.033999999999999</v>
      </c>
      <c r="W56" s="44">
        <f t="shared" si="109"/>
        <v>681.3</v>
      </c>
      <c r="X56" s="115">
        <f t="shared" si="110"/>
        <v>17.033999999999999</v>
      </c>
      <c r="Y56" s="46">
        <f t="shared" si="147"/>
        <v>749.5</v>
      </c>
      <c r="Z56" s="46">
        <f t="shared" si="147"/>
        <v>933.5</v>
      </c>
      <c r="AA56" s="46">
        <f t="shared" si="147"/>
        <v>1103.8</v>
      </c>
      <c r="AB56" s="46">
        <f t="shared" si="147"/>
        <v>1001.6</v>
      </c>
      <c r="AC56" s="46">
        <f t="shared" si="147"/>
        <v>1478.6</v>
      </c>
      <c r="AD56" s="46">
        <f t="shared" si="147"/>
        <v>2044.1</v>
      </c>
      <c r="AE56" s="44">
        <f t="shared" si="133"/>
        <v>659.2</v>
      </c>
      <c r="AF56" s="115">
        <f>RCFs!C$13</f>
        <v>16.48</v>
      </c>
      <c r="AG56" s="46">
        <f t="shared" si="103"/>
        <v>1087.7</v>
      </c>
      <c r="AH56" s="46">
        <f t="shared" si="103"/>
        <v>1384.3</v>
      </c>
      <c r="AI56" s="46">
        <f t="shared" si="103"/>
        <v>1977.6</v>
      </c>
      <c r="AJ56" s="44">
        <f t="shared" si="134"/>
        <v>675.1</v>
      </c>
      <c r="AK56" s="115">
        <f>RCFs!C$24</f>
        <v>16.876666666666669</v>
      </c>
      <c r="AL56" s="44">
        <f t="shared" si="135"/>
        <v>930.3</v>
      </c>
      <c r="AM56" s="115">
        <f>RCFs!$C$28</f>
        <v>23.256666666666668</v>
      </c>
      <c r="AN56" s="44">
        <f t="shared" si="104"/>
        <v>740.5</v>
      </c>
      <c r="AO56" s="115">
        <f>RCFs!C$33</f>
        <v>18.513999999999999</v>
      </c>
      <c r="AP56" s="46">
        <f t="shared" si="105"/>
        <v>1110.7</v>
      </c>
      <c r="AQ56" s="44">
        <f t="shared" si="106"/>
        <v>692.2</v>
      </c>
      <c r="AR56" s="115">
        <f>RCFs!$C$35</f>
        <v>17.306666666666668</v>
      </c>
      <c r="AS56" s="46">
        <f t="shared" ref="AS56:AT71" si="167">ROUNDDOWN($AQ56*AS$6,1)</f>
        <v>899.8</v>
      </c>
      <c r="AT56" s="46">
        <f t="shared" si="167"/>
        <v>1003.6</v>
      </c>
      <c r="AU56" s="44">
        <f t="shared" ref="AU56" si="168">ROUNDDOWN($C56*AV56,1)</f>
        <v>714.4</v>
      </c>
      <c r="AV56" s="115">
        <f>RCFs!C$37</f>
        <v>17.86</v>
      </c>
      <c r="AW56" s="44">
        <f t="shared" si="112"/>
        <v>722.8</v>
      </c>
      <c r="AX56" s="115">
        <f>RCFs!C$64</f>
        <v>18.07</v>
      </c>
      <c r="AY56" s="44">
        <f t="shared" ref="AY56" si="169">ROUNDDOWN($C56*AZ56,1)</f>
        <v>732.9</v>
      </c>
      <c r="AZ56" s="115">
        <f>RCFs!C$39</f>
        <v>18.323333333333334</v>
      </c>
      <c r="BA56" s="44">
        <f t="shared" ref="BA56" si="170">ROUNDDOWN($C56*BB56,1)</f>
        <v>703.1</v>
      </c>
      <c r="BB56" s="115">
        <f>RCFs!$C$41</f>
        <v>17.579000000000001</v>
      </c>
    </row>
    <row r="57" spans="1:54" s="67" customFormat="1" ht="25.5" x14ac:dyDescent="0.2">
      <c r="A57" s="65" t="s">
        <v>65</v>
      </c>
      <c r="B57" s="66" t="s">
        <v>66</v>
      </c>
      <c r="C57" s="44">
        <v>51</v>
      </c>
      <c r="D57" s="44">
        <f t="shared" si="96"/>
        <v>3475.2</v>
      </c>
      <c r="E57" s="113">
        <f>RCFs!$C$43</f>
        <v>68.141894999999991</v>
      </c>
      <c r="F57" s="44">
        <f t="shared" si="132"/>
        <v>896.4</v>
      </c>
      <c r="G57" s="115">
        <f>RCFs!$C$5</f>
        <v>17.577000000000002</v>
      </c>
      <c r="H57" s="44">
        <f t="shared" si="98"/>
        <v>896.4</v>
      </c>
      <c r="I57" s="115">
        <f>RCFs!$C$5</f>
        <v>17.577000000000002</v>
      </c>
      <c r="J57" s="46">
        <f t="shared" si="146"/>
        <v>986.1</v>
      </c>
      <c r="K57" s="46">
        <f t="shared" si="146"/>
        <v>1228.0999999999999</v>
      </c>
      <c r="L57" s="46">
        <f t="shared" si="146"/>
        <v>1317.7</v>
      </c>
      <c r="M57" s="46">
        <f t="shared" si="146"/>
        <v>1452.2</v>
      </c>
      <c r="N57" s="46">
        <f t="shared" si="146"/>
        <v>1792.9</v>
      </c>
      <c r="O57" s="46">
        <f t="shared" si="146"/>
        <v>1927.3</v>
      </c>
      <c r="P57" s="46">
        <f t="shared" si="146"/>
        <v>2689.3</v>
      </c>
      <c r="Q57" s="44">
        <f t="shared" si="100"/>
        <v>900.6</v>
      </c>
      <c r="R57" s="115">
        <f>RCFs!$C$7</f>
        <v>17.66</v>
      </c>
      <c r="S57" s="46">
        <f t="shared" si="166"/>
        <v>1170.7</v>
      </c>
      <c r="T57" s="46">
        <f t="shared" si="166"/>
        <v>1350.9</v>
      </c>
      <c r="U57" s="44">
        <f t="shared" si="108"/>
        <v>868.7</v>
      </c>
      <c r="V57" s="115">
        <f>RCFs!$C$9</f>
        <v>17.033999999999999</v>
      </c>
      <c r="W57" s="44">
        <f t="shared" si="109"/>
        <v>868.7</v>
      </c>
      <c r="X57" s="115">
        <f t="shared" si="110"/>
        <v>17.033999999999999</v>
      </c>
      <c r="Y57" s="46">
        <f t="shared" si="147"/>
        <v>955.6</v>
      </c>
      <c r="Z57" s="46">
        <f t="shared" si="147"/>
        <v>1190.2</v>
      </c>
      <c r="AA57" s="46">
        <f t="shared" si="147"/>
        <v>1407.3</v>
      </c>
      <c r="AB57" s="46">
        <f t="shared" si="147"/>
        <v>1277</v>
      </c>
      <c r="AC57" s="46">
        <f t="shared" si="147"/>
        <v>1885.2</v>
      </c>
      <c r="AD57" s="46">
        <f t="shared" si="147"/>
        <v>2606.1999999999998</v>
      </c>
      <c r="AE57" s="44">
        <f t="shared" si="133"/>
        <v>840.5</v>
      </c>
      <c r="AF57" s="115">
        <f>RCFs!C$13</f>
        <v>16.48</v>
      </c>
      <c r="AG57" s="46">
        <f t="shared" si="103"/>
        <v>1386.8</v>
      </c>
      <c r="AH57" s="46">
        <f t="shared" si="103"/>
        <v>1765.1</v>
      </c>
      <c r="AI57" s="46">
        <f t="shared" si="103"/>
        <v>2521.5</v>
      </c>
      <c r="AJ57" s="44">
        <f t="shared" si="134"/>
        <v>860.7</v>
      </c>
      <c r="AK57" s="115">
        <f>RCFs!C$24</f>
        <v>16.876666666666669</v>
      </c>
      <c r="AL57" s="44">
        <f t="shared" si="135"/>
        <v>1186.0999999999999</v>
      </c>
      <c r="AM57" s="115">
        <f>RCFs!$C$28</f>
        <v>23.256666666666668</v>
      </c>
      <c r="AN57" s="44">
        <f t="shared" si="104"/>
        <v>944.2</v>
      </c>
      <c r="AO57" s="115">
        <f>RCFs!C$33</f>
        <v>18.513999999999999</v>
      </c>
      <c r="AP57" s="46">
        <f t="shared" si="105"/>
        <v>1416.3</v>
      </c>
      <c r="AQ57" s="44">
        <f t="shared" si="106"/>
        <v>882.6</v>
      </c>
      <c r="AR57" s="115">
        <f>RCFs!$C$35</f>
        <v>17.306666666666668</v>
      </c>
      <c r="AS57" s="46">
        <f t="shared" si="167"/>
        <v>1147.3</v>
      </c>
      <c r="AT57" s="46">
        <f t="shared" si="167"/>
        <v>1279.7</v>
      </c>
      <c r="AU57" s="44">
        <f t="shared" ref="AU57" si="171">ROUNDDOWN($C57*AV57,1)</f>
        <v>910.8</v>
      </c>
      <c r="AV57" s="115">
        <f>RCFs!C$37</f>
        <v>17.86</v>
      </c>
      <c r="AW57" s="44">
        <f t="shared" si="112"/>
        <v>921.5</v>
      </c>
      <c r="AX57" s="115">
        <f>RCFs!C$64</f>
        <v>18.07</v>
      </c>
      <c r="AY57" s="44">
        <f t="shared" ref="AY57" si="172">ROUNDDOWN($C57*AZ57,1)</f>
        <v>934.4</v>
      </c>
      <c r="AZ57" s="115">
        <f>RCFs!C$39</f>
        <v>18.323333333333334</v>
      </c>
      <c r="BA57" s="44">
        <f t="shared" ref="BA57" si="173">ROUNDDOWN($C57*BB57,1)</f>
        <v>896.5</v>
      </c>
      <c r="BB57" s="115">
        <f>RCFs!$C$41</f>
        <v>17.579000000000001</v>
      </c>
    </row>
    <row r="58" spans="1:54" s="67" customFormat="1" x14ac:dyDescent="0.2">
      <c r="A58" s="65" t="s">
        <v>67</v>
      </c>
      <c r="B58" s="66" t="s">
        <v>68</v>
      </c>
      <c r="C58" s="44">
        <v>187</v>
      </c>
      <c r="D58" s="44">
        <f t="shared" si="96"/>
        <v>12742.5</v>
      </c>
      <c r="E58" s="113">
        <f>RCFs!$C$43</f>
        <v>68.141894999999991</v>
      </c>
      <c r="F58" s="44">
        <f t="shared" si="132"/>
        <v>3286.9</v>
      </c>
      <c r="G58" s="115">
        <f>RCFs!$C$5</f>
        <v>17.577000000000002</v>
      </c>
      <c r="H58" s="44">
        <f t="shared" si="98"/>
        <v>3286.9</v>
      </c>
      <c r="I58" s="115">
        <f>RCFs!$C$5</f>
        <v>17.577000000000002</v>
      </c>
      <c r="J58" s="46">
        <f t="shared" si="146"/>
        <v>3615.6</v>
      </c>
      <c r="K58" s="46">
        <f t="shared" si="146"/>
        <v>4503.1000000000004</v>
      </c>
      <c r="L58" s="46">
        <f t="shared" si="146"/>
        <v>4831.7</v>
      </c>
      <c r="M58" s="46">
        <f t="shared" si="146"/>
        <v>5324.8</v>
      </c>
      <c r="N58" s="46">
        <f t="shared" si="146"/>
        <v>6573.8</v>
      </c>
      <c r="O58" s="46">
        <f t="shared" si="146"/>
        <v>7066.8</v>
      </c>
      <c r="P58" s="46">
        <f t="shared" si="146"/>
        <v>9860.7000000000007</v>
      </c>
      <c r="Q58" s="44">
        <f t="shared" si="100"/>
        <v>3302.4</v>
      </c>
      <c r="R58" s="115">
        <f>RCFs!$C$7</f>
        <v>17.66</v>
      </c>
      <c r="S58" s="46">
        <f t="shared" si="166"/>
        <v>4293.1000000000004</v>
      </c>
      <c r="T58" s="46">
        <f t="shared" si="166"/>
        <v>4953.6000000000004</v>
      </c>
      <c r="U58" s="44">
        <f t="shared" si="108"/>
        <v>3185.3</v>
      </c>
      <c r="V58" s="115">
        <f>RCFs!$C$9</f>
        <v>17.033999999999999</v>
      </c>
      <c r="W58" s="44">
        <f t="shared" si="109"/>
        <v>3185.3</v>
      </c>
      <c r="X58" s="115">
        <f t="shared" si="110"/>
        <v>17.033999999999999</v>
      </c>
      <c r="Y58" s="46">
        <f t="shared" si="147"/>
        <v>3503.9</v>
      </c>
      <c r="Z58" s="46">
        <f t="shared" si="147"/>
        <v>4363.8999999999996</v>
      </c>
      <c r="AA58" s="46">
        <f t="shared" si="147"/>
        <v>5160.3</v>
      </c>
      <c r="AB58" s="46">
        <f t="shared" si="147"/>
        <v>4682.5</v>
      </c>
      <c r="AC58" s="46">
        <f t="shared" si="147"/>
        <v>6912.2</v>
      </c>
      <c r="AD58" s="46">
        <f t="shared" si="147"/>
        <v>9556.1</v>
      </c>
      <c r="AE58" s="44">
        <f t="shared" si="133"/>
        <v>3081.8</v>
      </c>
      <c r="AF58" s="115">
        <f>RCFs!C$13</f>
        <v>16.48</v>
      </c>
      <c r="AG58" s="46">
        <f t="shared" si="103"/>
        <v>5085</v>
      </c>
      <c r="AH58" s="46">
        <f t="shared" si="103"/>
        <v>6471.8</v>
      </c>
      <c r="AI58" s="46">
        <f t="shared" si="103"/>
        <v>9245.4</v>
      </c>
      <c r="AJ58" s="44">
        <f t="shared" si="134"/>
        <v>3155.9</v>
      </c>
      <c r="AK58" s="115">
        <f>RCFs!C$24</f>
        <v>16.876666666666669</v>
      </c>
      <c r="AL58" s="44">
        <f t="shared" si="135"/>
        <v>4349</v>
      </c>
      <c r="AM58" s="115">
        <f>RCFs!$C$28</f>
        <v>23.256666666666668</v>
      </c>
      <c r="AN58" s="44">
        <f t="shared" si="104"/>
        <v>3462.1</v>
      </c>
      <c r="AO58" s="115">
        <f>RCFs!C$33</f>
        <v>18.513999999999999</v>
      </c>
      <c r="AP58" s="46">
        <f t="shared" si="105"/>
        <v>5193.1000000000004</v>
      </c>
      <c r="AQ58" s="44">
        <f t="shared" si="106"/>
        <v>3236.3</v>
      </c>
      <c r="AR58" s="115">
        <f>RCFs!$C$35</f>
        <v>17.306666666666668</v>
      </c>
      <c r="AS58" s="46">
        <f t="shared" si="167"/>
        <v>4207.1000000000004</v>
      </c>
      <c r="AT58" s="46">
        <f t="shared" si="167"/>
        <v>4692.6000000000004</v>
      </c>
      <c r="AU58" s="44">
        <f t="shared" ref="AU58" si="174">ROUNDDOWN($C58*AV58,1)</f>
        <v>3339.8</v>
      </c>
      <c r="AV58" s="115">
        <f>RCFs!C$37</f>
        <v>17.86</v>
      </c>
      <c r="AW58" s="44">
        <f t="shared" si="112"/>
        <v>3379</v>
      </c>
      <c r="AX58" s="115">
        <f>RCFs!C$64</f>
        <v>18.07</v>
      </c>
      <c r="AY58" s="44">
        <f t="shared" ref="AY58" si="175">ROUNDDOWN($C58*AZ58,1)</f>
        <v>3426.4</v>
      </c>
      <c r="AZ58" s="115">
        <f>RCFs!C$39</f>
        <v>18.323333333333334</v>
      </c>
      <c r="BA58" s="44">
        <f t="shared" ref="BA58" si="176">ROUNDDOWN($C58*BB58,1)</f>
        <v>3287.2</v>
      </c>
      <c r="BB58" s="115">
        <f>RCFs!$C$41</f>
        <v>17.579000000000001</v>
      </c>
    </row>
    <row r="59" spans="1:54" s="67" customFormat="1" x14ac:dyDescent="0.2">
      <c r="A59" s="68" t="s">
        <v>69</v>
      </c>
      <c r="B59" s="69" t="s">
        <v>70</v>
      </c>
      <c r="C59" s="44">
        <v>229.4</v>
      </c>
      <c r="D59" s="44">
        <f t="shared" si="96"/>
        <v>15631.8</v>
      </c>
      <c r="E59" s="113">
        <f>RCFs!$C$43</f>
        <v>68.141894999999991</v>
      </c>
      <c r="F59" s="44">
        <f t="shared" si="132"/>
        <v>4032.2</v>
      </c>
      <c r="G59" s="115">
        <f>RCFs!$C$5</f>
        <v>17.577000000000002</v>
      </c>
      <c r="H59" s="44">
        <f t="shared" si="98"/>
        <v>4032.2</v>
      </c>
      <c r="I59" s="115">
        <f>RCFs!$C$5</f>
        <v>17.577000000000002</v>
      </c>
      <c r="J59" s="46">
        <f t="shared" si="146"/>
        <v>4435.3999999999996</v>
      </c>
      <c r="K59" s="46">
        <f t="shared" si="146"/>
        <v>5524.1</v>
      </c>
      <c r="L59" s="46">
        <f t="shared" si="146"/>
        <v>5927.3</v>
      </c>
      <c r="M59" s="46">
        <f t="shared" si="146"/>
        <v>6532.1</v>
      </c>
      <c r="N59" s="46">
        <f t="shared" si="146"/>
        <v>8064.3</v>
      </c>
      <c r="O59" s="46">
        <f t="shared" si="146"/>
        <v>8669.2000000000007</v>
      </c>
      <c r="P59" s="46">
        <f t="shared" si="146"/>
        <v>12096.5</v>
      </c>
      <c r="Q59" s="44">
        <f t="shared" si="100"/>
        <v>4051.2</v>
      </c>
      <c r="R59" s="115">
        <f>RCFs!$C$7</f>
        <v>17.66</v>
      </c>
      <c r="S59" s="46">
        <f t="shared" si="166"/>
        <v>5266.5</v>
      </c>
      <c r="T59" s="46">
        <f t="shared" si="166"/>
        <v>6076.8</v>
      </c>
      <c r="U59" s="44">
        <f t="shared" si="108"/>
        <v>3907.5</v>
      </c>
      <c r="V59" s="115">
        <f>RCFs!$C$9</f>
        <v>17.033999999999999</v>
      </c>
      <c r="W59" s="44">
        <f t="shared" si="109"/>
        <v>3907.5</v>
      </c>
      <c r="X59" s="115">
        <f t="shared" si="110"/>
        <v>17.033999999999999</v>
      </c>
      <c r="Y59" s="46">
        <f t="shared" si="147"/>
        <v>4298.3999999999996</v>
      </c>
      <c r="Z59" s="46">
        <f t="shared" si="147"/>
        <v>5353.4</v>
      </c>
      <c r="AA59" s="46">
        <f t="shared" si="147"/>
        <v>6330.3</v>
      </c>
      <c r="AB59" s="46">
        <f t="shared" si="147"/>
        <v>5744.2</v>
      </c>
      <c r="AC59" s="46">
        <f t="shared" si="147"/>
        <v>8479.5</v>
      </c>
      <c r="AD59" s="46">
        <f t="shared" si="147"/>
        <v>11722.8</v>
      </c>
      <c r="AE59" s="44">
        <f t="shared" si="133"/>
        <v>3780.5</v>
      </c>
      <c r="AF59" s="115">
        <f>RCFs!C$13</f>
        <v>16.48</v>
      </c>
      <c r="AG59" s="46">
        <f t="shared" si="103"/>
        <v>6237.8</v>
      </c>
      <c r="AH59" s="46">
        <f t="shared" si="103"/>
        <v>7939.1</v>
      </c>
      <c r="AI59" s="46">
        <f t="shared" si="103"/>
        <v>11341.5</v>
      </c>
      <c r="AJ59" s="44">
        <f t="shared" si="134"/>
        <v>3871.5</v>
      </c>
      <c r="AK59" s="115">
        <f>RCFs!C$24</f>
        <v>16.876666666666669</v>
      </c>
      <c r="AL59" s="44">
        <f t="shared" si="135"/>
        <v>5335.1</v>
      </c>
      <c r="AM59" s="115">
        <f>RCFs!$C$28</f>
        <v>23.256666666666668</v>
      </c>
      <c r="AN59" s="44">
        <f t="shared" si="104"/>
        <v>4247.1000000000004</v>
      </c>
      <c r="AO59" s="115">
        <f>RCFs!C$33</f>
        <v>18.513999999999999</v>
      </c>
      <c r="AP59" s="46">
        <f t="shared" si="105"/>
        <v>6370.6</v>
      </c>
      <c r="AQ59" s="44">
        <f t="shared" si="106"/>
        <v>3970.1</v>
      </c>
      <c r="AR59" s="115">
        <f>RCFs!$C$35</f>
        <v>17.306666666666668</v>
      </c>
      <c r="AS59" s="46">
        <f t="shared" si="167"/>
        <v>5161.1000000000004</v>
      </c>
      <c r="AT59" s="46">
        <f t="shared" si="167"/>
        <v>5756.6</v>
      </c>
      <c r="AU59" s="44">
        <f t="shared" ref="AU59" si="177">ROUNDDOWN($C59*AV59,1)</f>
        <v>4097</v>
      </c>
      <c r="AV59" s="115">
        <f>RCFs!C$37</f>
        <v>17.86</v>
      </c>
      <c r="AW59" s="44">
        <f t="shared" si="112"/>
        <v>4145.2</v>
      </c>
      <c r="AX59" s="115">
        <f>RCFs!C$64</f>
        <v>18.07</v>
      </c>
      <c r="AY59" s="44">
        <f t="shared" ref="AY59" si="178">ROUNDDOWN($C59*AZ59,1)</f>
        <v>4203.3</v>
      </c>
      <c r="AZ59" s="115">
        <f>RCFs!C$39</f>
        <v>18.323333333333334</v>
      </c>
      <c r="BA59" s="44">
        <f t="shared" ref="BA59" si="179">ROUNDDOWN($C59*BB59,1)</f>
        <v>4032.6</v>
      </c>
      <c r="BB59" s="115">
        <f>RCFs!$C$41</f>
        <v>17.579000000000001</v>
      </c>
    </row>
    <row r="60" spans="1:54" s="67" customFormat="1" ht="25.5" x14ac:dyDescent="0.2">
      <c r="A60" s="65" t="s">
        <v>71</v>
      </c>
      <c r="B60" s="66" t="s">
        <v>72</v>
      </c>
      <c r="C60" s="44">
        <v>16</v>
      </c>
      <c r="D60" s="44">
        <f t="shared" si="96"/>
        <v>1090.3</v>
      </c>
      <c r="E60" s="113">
        <f>RCFs!$C$43</f>
        <v>68.141894999999991</v>
      </c>
      <c r="F60" s="44">
        <f t="shared" si="132"/>
        <v>281.2</v>
      </c>
      <c r="G60" s="115">
        <f>RCFs!$C$5</f>
        <v>17.577000000000002</v>
      </c>
      <c r="H60" s="44">
        <f t="shared" si="98"/>
        <v>281.2</v>
      </c>
      <c r="I60" s="115">
        <f>RCFs!$C$5</f>
        <v>17.577000000000002</v>
      </c>
      <c r="J60" s="46">
        <f t="shared" ref="J60:P71" si="180">ROUND($C60*$I60*J$6,1)</f>
        <v>309.39999999999998</v>
      </c>
      <c r="K60" s="46">
        <f t="shared" si="180"/>
        <v>385.3</v>
      </c>
      <c r="L60" s="46">
        <f t="shared" si="180"/>
        <v>413.4</v>
      </c>
      <c r="M60" s="46">
        <f t="shared" si="180"/>
        <v>455.6</v>
      </c>
      <c r="N60" s="46">
        <f t="shared" si="180"/>
        <v>562.5</v>
      </c>
      <c r="O60" s="46">
        <f t="shared" si="180"/>
        <v>604.6</v>
      </c>
      <c r="P60" s="46">
        <f t="shared" si="180"/>
        <v>843.7</v>
      </c>
      <c r="Q60" s="44">
        <f t="shared" si="100"/>
        <v>282.5</v>
      </c>
      <c r="R60" s="115">
        <f>RCFs!$C$7</f>
        <v>17.66</v>
      </c>
      <c r="S60" s="46">
        <f t="shared" si="166"/>
        <v>367.2</v>
      </c>
      <c r="T60" s="46">
        <f t="shared" si="166"/>
        <v>423.7</v>
      </c>
      <c r="U60" s="44">
        <f t="shared" si="108"/>
        <v>272.5</v>
      </c>
      <c r="V60" s="115">
        <f>RCFs!$C$9</f>
        <v>17.033999999999999</v>
      </c>
      <c r="W60" s="44">
        <f t="shared" si="109"/>
        <v>272.5</v>
      </c>
      <c r="X60" s="115">
        <f t="shared" si="110"/>
        <v>17.033999999999999</v>
      </c>
      <c r="Y60" s="46">
        <f t="shared" si="147"/>
        <v>299.8</v>
      </c>
      <c r="Z60" s="46">
        <f t="shared" si="147"/>
        <v>373.4</v>
      </c>
      <c r="AA60" s="46">
        <f t="shared" si="147"/>
        <v>441.5</v>
      </c>
      <c r="AB60" s="46">
        <f t="shared" si="147"/>
        <v>400.6</v>
      </c>
      <c r="AC60" s="46">
        <f t="shared" si="147"/>
        <v>591.4</v>
      </c>
      <c r="AD60" s="46">
        <f t="shared" si="147"/>
        <v>817.6</v>
      </c>
      <c r="AE60" s="44">
        <f t="shared" si="133"/>
        <v>263.7</v>
      </c>
      <c r="AF60" s="115">
        <f>RCFs!C$13</f>
        <v>16.48</v>
      </c>
      <c r="AG60" s="46">
        <f t="shared" si="103"/>
        <v>435.1</v>
      </c>
      <c r="AH60" s="46">
        <f t="shared" si="103"/>
        <v>553.79999999999995</v>
      </c>
      <c r="AI60" s="46">
        <f t="shared" si="103"/>
        <v>791.1</v>
      </c>
      <c r="AJ60" s="44">
        <f t="shared" si="134"/>
        <v>270</v>
      </c>
      <c r="AK60" s="115">
        <f>RCFs!C$24</f>
        <v>16.876666666666669</v>
      </c>
      <c r="AL60" s="44">
        <f t="shared" si="135"/>
        <v>372.1</v>
      </c>
      <c r="AM60" s="115">
        <f>RCFs!$C$28</f>
        <v>23.256666666666668</v>
      </c>
      <c r="AN60" s="44">
        <f t="shared" si="104"/>
        <v>296.2</v>
      </c>
      <c r="AO60" s="115">
        <f>RCFs!C$33</f>
        <v>18.513999999999999</v>
      </c>
      <c r="AP60" s="46">
        <f t="shared" si="105"/>
        <v>444.3</v>
      </c>
      <c r="AQ60" s="44">
        <f t="shared" si="106"/>
        <v>276.89999999999998</v>
      </c>
      <c r="AR60" s="115">
        <f>RCFs!$C$35</f>
        <v>17.306666666666668</v>
      </c>
      <c r="AS60" s="46">
        <f t="shared" si="167"/>
        <v>359.9</v>
      </c>
      <c r="AT60" s="46">
        <f t="shared" si="167"/>
        <v>401.5</v>
      </c>
      <c r="AU60" s="44">
        <f t="shared" ref="AU60" si="181">ROUNDDOWN($C60*AV60,1)</f>
        <v>285.7</v>
      </c>
      <c r="AV60" s="115">
        <f>RCFs!C$37</f>
        <v>17.86</v>
      </c>
      <c r="AW60" s="44">
        <f t="shared" si="112"/>
        <v>289.10000000000002</v>
      </c>
      <c r="AX60" s="115">
        <f>RCFs!C$64</f>
        <v>18.07</v>
      </c>
      <c r="AY60" s="44">
        <f t="shared" ref="AY60" si="182">ROUNDDOWN($C60*AZ60,1)</f>
        <v>293.10000000000002</v>
      </c>
      <c r="AZ60" s="115">
        <f>RCFs!C$39</f>
        <v>18.323333333333334</v>
      </c>
      <c r="BA60" s="44">
        <f t="shared" ref="BA60" si="183">ROUNDDOWN($C60*BB60,1)</f>
        <v>281.2</v>
      </c>
      <c r="BB60" s="115">
        <f>RCFs!$C$41</f>
        <v>17.579000000000001</v>
      </c>
    </row>
    <row r="61" spans="1:54" s="67" customFormat="1" ht="38.25" x14ac:dyDescent="0.2">
      <c r="A61" s="65" t="s">
        <v>73</v>
      </c>
      <c r="B61" s="66" t="s">
        <v>74</v>
      </c>
      <c r="C61" s="44">
        <v>282</v>
      </c>
      <c r="D61" s="44"/>
      <c r="E61" s="115">
        <v>0</v>
      </c>
      <c r="F61" s="44">
        <f t="shared" si="132"/>
        <v>4956.7</v>
      </c>
      <c r="G61" s="115">
        <f>RCFs!$C$5</f>
        <v>17.577000000000002</v>
      </c>
      <c r="H61" s="44">
        <f t="shared" si="98"/>
        <v>4956.7</v>
      </c>
      <c r="I61" s="115">
        <f>RCFs!$C$5</f>
        <v>17.577000000000002</v>
      </c>
      <c r="J61" s="46">
        <f t="shared" si="180"/>
        <v>5452.4</v>
      </c>
      <c r="K61" s="46">
        <f t="shared" si="180"/>
        <v>6790.7</v>
      </c>
      <c r="L61" s="46">
        <f t="shared" si="180"/>
        <v>7286.4</v>
      </c>
      <c r="M61" s="46">
        <f t="shared" si="180"/>
        <v>8029.9</v>
      </c>
      <c r="N61" s="46">
        <f t="shared" si="180"/>
        <v>9913.4</v>
      </c>
      <c r="O61" s="46">
        <f t="shared" si="180"/>
        <v>10656.9</v>
      </c>
      <c r="P61" s="46">
        <f t="shared" si="180"/>
        <v>14870.1</v>
      </c>
      <c r="Q61" s="44">
        <f t="shared" si="100"/>
        <v>4980.1000000000004</v>
      </c>
      <c r="R61" s="115">
        <f>RCFs!$C$7</f>
        <v>17.66</v>
      </c>
      <c r="S61" s="46">
        <f t="shared" si="166"/>
        <v>6474.1</v>
      </c>
      <c r="T61" s="46">
        <f t="shared" si="166"/>
        <v>7470.1</v>
      </c>
      <c r="U61" s="44">
        <f t="shared" si="108"/>
        <v>4803.5</v>
      </c>
      <c r="V61" s="115">
        <f>RCFs!$C$9</f>
        <v>17.033999999999999</v>
      </c>
      <c r="W61" s="44">
        <f t="shared" si="109"/>
        <v>4803.5</v>
      </c>
      <c r="X61" s="115">
        <f t="shared" si="110"/>
        <v>17.033999999999999</v>
      </c>
      <c r="Y61" s="46">
        <f t="shared" si="147"/>
        <v>5283.9</v>
      </c>
      <c r="Z61" s="46">
        <f t="shared" si="147"/>
        <v>6580.9</v>
      </c>
      <c r="AA61" s="46">
        <f t="shared" si="147"/>
        <v>7781.8</v>
      </c>
      <c r="AB61" s="46">
        <f t="shared" si="147"/>
        <v>7061.3</v>
      </c>
      <c r="AC61" s="46">
        <f t="shared" si="147"/>
        <v>10423.799999999999</v>
      </c>
      <c r="AD61" s="46">
        <f t="shared" si="147"/>
        <v>14410.8</v>
      </c>
      <c r="AE61" s="177">
        <v>4234.3</v>
      </c>
      <c r="AF61" s="115">
        <f>AE61/C61</f>
        <v>15.015248226950355</v>
      </c>
      <c r="AG61" s="179">
        <v>6986.7</v>
      </c>
      <c r="AH61" s="46">
        <f t="shared" si="103"/>
        <v>8892</v>
      </c>
      <c r="AI61" s="46">
        <f t="shared" si="103"/>
        <v>12702.9</v>
      </c>
      <c r="AJ61" s="177">
        <v>5480.9</v>
      </c>
      <c r="AK61" s="115">
        <f>AJ61/C61</f>
        <v>19.435815602836879</v>
      </c>
      <c r="AL61" s="178">
        <v>10553.4</v>
      </c>
      <c r="AM61" s="115">
        <f>AL61/C61</f>
        <v>37.423404255319149</v>
      </c>
      <c r="AN61" s="44">
        <f t="shared" si="104"/>
        <v>5220.8999999999996</v>
      </c>
      <c r="AO61" s="115">
        <f>RCFs!C$33</f>
        <v>18.513999999999999</v>
      </c>
      <c r="AP61" s="46">
        <f t="shared" si="105"/>
        <v>7831.3</v>
      </c>
      <c r="AQ61" s="177">
        <v>11790.4</v>
      </c>
      <c r="AR61" s="115">
        <f>AQ61/C61</f>
        <v>41.809929078014186</v>
      </c>
      <c r="AS61" s="179">
        <v>10664.3</v>
      </c>
      <c r="AT61" s="179">
        <f>AS61</f>
        <v>10664.3</v>
      </c>
      <c r="AU61" s="44">
        <f t="shared" ref="AU61:AU63" si="184">ROUNDDOWN($C61*AV61,1)</f>
        <v>5036.5</v>
      </c>
      <c r="AV61" s="115">
        <f>RCFs!C$37</f>
        <v>17.86</v>
      </c>
      <c r="AW61" s="44">
        <f t="shared" si="112"/>
        <v>5095.7</v>
      </c>
      <c r="AX61" s="115">
        <f>RCFs!C$64</f>
        <v>18.07</v>
      </c>
      <c r="AY61" s="44">
        <f t="shared" ref="AY61:AY63" si="185">ROUNDDOWN($C61*AZ61,1)</f>
        <v>5167.1000000000004</v>
      </c>
      <c r="AZ61" s="115">
        <f>RCFs!C$39</f>
        <v>18.323333333333334</v>
      </c>
      <c r="BA61" s="44">
        <f t="shared" ref="BA61:BA63" si="186">ROUNDDOWN($C61*BB61,1)</f>
        <v>4957.2</v>
      </c>
      <c r="BB61" s="115">
        <f>RCFs!$C$41</f>
        <v>17.579000000000001</v>
      </c>
    </row>
    <row r="62" spans="1:54" s="67" customFormat="1" ht="51" x14ac:dyDescent="0.2">
      <c r="A62" s="106" t="s">
        <v>73</v>
      </c>
      <c r="B62" s="107" t="s">
        <v>106</v>
      </c>
      <c r="C62" s="108">
        <v>462</v>
      </c>
      <c r="D62" s="119">
        <f t="shared" si="96"/>
        <v>26394.6</v>
      </c>
      <c r="E62" s="114">
        <f>RCFs!K43</f>
        <v>57.13111509838447</v>
      </c>
      <c r="F62" s="44">
        <f>ROUND(G62*A62,1)</f>
        <v>0</v>
      </c>
      <c r="G62" s="114"/>
      <c r="H62" s="44">
        <f t="shared" si="98"/>
        <v>0</v>
      </c>
      <c r="I62" s="114"/>
      <c r="J62" s="46">
        <f t="shared" si="180"/>
        <v>0</v>
      </c>
      <c r="K62" s="46">
        <f t="shared" si="180"/>
        <v>0</v>
      </c>
      <c r="L62" s="46">
        <f t="shared" si="180"/>
        <v>0</v>
      </c>
      <c r="M62" s="46">
        <f t="shared" si="180"/>
        <v>0</v>
      </c>
      <c r="N62" s="46">
        <f t="shared" si="180"/>
        <v>0</v>
      </c>
      <c r="O62" s="46">
        <f t="shared" si="180"/>
        <v>0</v>
      </c>
      <c r="P62" s="46">
        <f t="shared" si="180"/>
        <v>0</v>
      </c>
      <c r="Q62" s="44">
        <f t="shared" si="100"/>
        <v>0</v>
      </c>
      <c r="R62" s="114"/>
      <c r="S62" s="46">
        <f t="shared" si="166"/>
        <v>0</v>
      </c>
      <c r="T62" s="46">
        <f t="shared" si="166"/>
        <v>0</v>
      </c>
      <c r="U62" s="44">
        <f t="shared" si="108"/>
        <v>0</v>
      </c>
      <c r="V62" s="115"/>
      <c r="W62" s="44">
        <f t="shared" si="109"/>
        <v>0</v>
      </c>
      <c r="X62" s="115">
        <f t="shared" si="110"/>
        <v>0</v>
      </c>
      <c r="Y62" s="46"/>
      <c r="Z62" s="46"/>
      <c r="AA62" s="46"/>
      <c r="AB62" s="46"/>
      <c r="AC62" s="46"/>
      <c r="AD62" s="46"/>
      <c r="AE62" s="118"/>
      <c r="AF62" s="115"/>
      <c r="AG62" s="46"/>
      <c r="AH62" s="46"/>
      <c r="AI62" s="46"/>
      <c r="AJ62" s="118">
        <v>0</v>
      </c>
      <c r="AK62" s="115"/>
      <c r="AL62" s="118"/>
      <c r="AM62" s="115"/>
      <c r="AN62" s="44">
        <f t="shared" si="104"/>
        <v>0</v>
      </c>
      <c r="AO62" s="115"/>
      <c r="AP62" s="46">
        <f t="shared" si="105"/>
        <v>0</v>
      </c>
      <c r="AQ62" s="177">
        <f t="shared" si="106"/>
        <v>0</v>
      </c>
      <c r="AR62" s="115"/>
      <c r="AS62" s="46"/>
      <c r="AT62" s="46">
        <f t="shared" si="167"/>
        <v>0</v>
      </c>
      <c r="AU62" s="44">
        <f t="shared" si="111"/>
        <v>0</v>
      </c>
      <c r="AV62" s="115"/>
      <c r="AW62" s="44">
        <f t="shared" si="112"/>
        <v>0</v>
      </c>
      <c r="AX62" s="115"/>
      <c r="AY62" s="44">
        <f t="shared" si="111"/>
        <v>0</v>
      </c>
      <c r="AZ62" s="115"/>
      <c r="BA62" s="44">
        <f t="shared" ref="BA62" si="187">ROUNDDOWN($C62*BB62,1)</f>
        <v>0</v>
      </c>
      <c r="BB62" s="115"/>
    </row>
    <row r="63" spans="1:54" s="67" customFormat="1" ht="51" x14ac:dyDescent="0.2">
      <c r="A63" s="65" t="s">
        <v>75</v>
      </c>
      <c r="B63" s="66" t="s">
        <v>76</v>
      </c>
      <c r="C63" s="44">
        <v>267</v>
      </c>
      <c r="D63" s="44"/>
      <c r="E63" s="115">
        <v>0</v>
      </c>
      <c r="F63" s="44">
        <f>ROUND(G63*C63,1)</f>
        <v>4693.1000000000004</v>
      </c>
      <c r="G63" s="115">
        <f>RCFs!$C$5</f>
        <v>17.577000000000002</v>
      </c>
      <c r="H63" s="44">
        <f t="shared" si="98"/>
        <v>4693.1000000000004</v>
      </c>
      <c r="I63" s="115">
        <f>RCFs!$C$5</f>
        <v>17.577000000000002</v>
      </c>
      <c r="J63" s="46">
        <f t="shared" si="180"/>
        <v>5162.3999999999996</v>
      </c>
      <c r="K63" s="46">
        <f t="shared" si="180"/>
        <v>6429.5</v>
      </c>
      <c r="L63" s="46">
        <f t="shared" si="180"/>
        <v>6898.8</v>
      </c>
      <c r="M63" s="46">
        <f t="shared" si="180"/>
        <v>7602.8</v>
      </c>
      <c r="N63" s="46">
        <f t="shared" si="180"/>
        <v>9386.1</v>
      </c>
      <c r="O63" s="46">
        <f t="shared" si="180"/>
        <v>10090.1</v>
      </c>
      <c r="P63" s="46">
        <f t="shared" si="180"/>
        <v>14079.2</v>
      </c>
      <c r="Q63" s="44">
        <f t="shared" si="100"/>
        <v>4715.2</v>
      </c>
      <c r="R63" s="115">
        <f>RCFs!$C$7</f>
        <v>17.66</v>
      </c>
      <c r="S63" s="46">
        <f t="shared" si="166"/>
        <v>6129.7</v>
      </c>
      <c r="T63" s="46">
        <f t="shared" si="166"/>
        <v>7072.8</v>
      </c>
      <c r="U63" s="44">
        <f t="shared" si="108"/>
        <v>4548</v>
      </c>
      <c r="V63" s="115">
        <f>RCFs!$C$9</f>
        <v>17.033999999999999</v>
      </c>
      <c r="W63" s="44">
        <f t="shared" si="109"/>
        <v>4548</v>
      </c>
      <c r="X63" s="115">
        <f t="shared" si="110"/>
        <v>17.033999999999999</v>
      </c>
      <c r="Y63" s="46">
        <f t="shared" ref="Y63:AD63" si="188">ROUND($C63*$X63*Y$6,1)</f>
        <v>5002.8999999999996</v>
      </c>
      <c r="Z63" s="46">
        <f t="shared" si="188"/>
        <v>6230.9</v>
      </c>
      <c r="AA63" s="46">
        <f t="shared" si="188"/>
        <v>7367.9</v>
      </c>
      <c r="AB63" s="46">
        <f t="shared" si="188"/>
        <v>6685.7</v>
      </c>
      <c r="AC63" s="46">
        <f t="shared" si="188"/>
        <v>9869.2999999999993</v>
      </c>
      <c r="AD63" s="46">
        <f t="shared" si="188"/>
        <v>13644.2</v>
      </c>
      <c r="AE63" s="177">
        <v>4009.3</v>
      </c>
      <c r="AF63" s="115">
        <f>AE63/C63</f>
        <v>15.016104868913859</v>
      </c>
      <c r="AG63" s="179">
        <v>6615.3</v>
      </c>
      <c r="AH63" s="46">
        <f>ROUND($AE63*AH$6,1)</f>
        <v>8419.5</v>
      </c>
      <c r="AI63" s="46">
        <f>ROUND($AE63*AI$6,1)</f>
        <v>12027.9</v>
      </c>
      <c r="AJ63" s="177">
        <v>5480.9</v>
      </c>
      <c r="AK63" s="115">
        <f>AJ63/C63</f>
        <v>20.527715355805242</v>
      </c>
      <c r="AL63" s="178">
        <v>10553.4</v>
      </c>
      <c r="AM63" s="115">
        <f>AL63/C63</f>
        <v>39.525842696629212</v>
      </c>
      <c r="AN63" s="44">
        <f t="shared" si="104"/>
        <v>4943.2</v>
      </c>
      <c r="AO63" s="115">
        <f>RCFs!C$33</f>
        <v>18.513999999999999</v>
      </c>
      <c r="AP63" s="46">
        <f t="shared" si="105"/>
        <v>7414.8</v>
      </c>
      <c r="AQ63" s="177">
        <v>11554.1</v>
      </c>
      <c r="AR63" s="115">
        <f>AQ63/C63</f>
        <v>43.273782771535579</v>
      </c>
      <c r="AS63" s="179">
        <v>10450.6</v>
      </c>
      <c r="AT63" s="179">
        <f>AS63</f>
        <v>10450.6</v>
      </c>
      <c r="AU63" s="44">
        <f t="shared" si="184"/>
        <v>4768.6000000000004</v>
      </c>
      <c r="AV63" s="115">
        <f>RCFs!C$37</f>
        <v>17.86</v>
      </c>
      <c r="AW63" s="44">
        <f t="shared" si="112"/>
        <v>4824.6000000000004</v>
      </c>
      <c r="AX63" s="115">
        <f>RCFs!C$64</f>
        <v>18.07</v>
      </c>
      <c r="AY63" s="44">
        <f t="shared" si="185"/>
        <v>4892.3</v>
      </c>
      <c r="AZ63" s="115">
        <f>RCFs!C$39</f>
        <v>18.323333333333334</v>
      </c>
      <c r="BA63" s="44">
        <f t="shared" si="186"/>
        <v>4693.5</v>
      </c>
      <c r="BB63" s="115">
        <f>RCFs!$C$41</f>
        <v>17.579000000000001</v>
      </c>
    </row>
    <row r="64" spans="1:54" s="67" customFormat="1" ht="51" x14ac:dyDescent="0.2">
      <c r="A64" s="106" t="s">
        <v>75</v>
      </c>
      <c r="B64" s="107" t="s">
        <v>107</v>
      </c>
      <c r="C64" s="108">
        <v>447</v>
      </c>
      <c r="D64" s="119">
        <f t="shared" si="96"/>
        <v>25372.400000000001</v>
      </c>
      <c r="E64" s="114">
        <f>RCFs!L43</f>
        <v>56.761625839940997</v>
      </c>
      <c r="F64" s="44">
        <f>ROUND(G64*A64,1)</f>
        <v>0</v>
      </c>
      <c r="G64" s="114"/>
      <c r="H64" s="44">
        <f t="shared" si="98"/>
        <v>0</v>
      </c>
      <c r="I64" s="114"/>
      <c r="J64" s="46">
        <f t="shared" si="180"/>
        <v>0</v>
      </c>
      <c r="K64" s="46">
        <f t="shared" si="180"/>
        <v>0</v>
      </c>
      <c r="L64" s="46">
        <f t="shared" si="180"/>
        <v>0</v>
      </c>
      <c r="M64" s="46">
        <f t="shared" si="180"/>
        <v>0</v>
      </c>
      <c r="N64" s="46">
        <f t="shared" si="180"/>
        <v>0</v>
      </c>
      <c r="O64" s="46">
        <f t="shared" si="180"/>
        <v>0</v>
      </c>
      <c r="P64" s="46">
        <f t="shared" si="180"/>
        <v>0</v>
      </c>
      <c r="Q64" s="44">
        <f t="shared" si="100"/>
        <v>0</v>
      </c>
      <c r="R64" s="114"/>
      <c r="S64" s="46">
        <f t="shared" si="166"/>
        <v>0</v>
      </c>
      <c r="T64" s="46">
        <f t="shared" si="166"/>
        <v>0</v>
      </c>
      <c r="U64" s="44">
        <f t="shared" si="108"/>
        <v>0</v>
      </c>
      <c r="V64" s="115"/>
      <c r="W64" s="44">
        <f t="shared" si="109"/>
        <v>0</v>
      </c>
      <c r="X64" s="115">
        <f t="shared" si="110"/>
        <v>0</v>
      </c>
      <c r="Y64" s="46"/>
      <c r="Z64" s="46"/>
      <c r="AA64" s="46"/>
      <c r="AB64" s="46"/>
      <c r="AC64" s="46"/>
      <c r="AD64" s="46"/>
      <c r="AE64" s="118"/>
      <c r="AF64" s="115"/>
      <c r="AG64" s="46"/>
      <c r="AH64" s="46"/>
      <c r="AI64" s="46"/>
      <c r="AJ64" s="118"/>
      <c r="AK64" s="115"/>
      <c r="AL64" s="118"/>
      <c r="AM64" s="115"/>
      <c r="AN64" s="44">
        <f t="shared" si="104"/>
        <v>0</v>
      </c>
      <c r="AO64" s="115"/>
      <c r="AP64" s="46">
        <f t="shared" si="105"/>
        <v>0</v>
      </c>
      <c r="AQ64" s="44">
        <f t="shared" si="106"/>
        <v>0</v>
      </c>
      <c r="AR64" s="115"/>
      <c r="AS64" s="46">
        <f t="shared" si="167"/>
        <v>0</v>
      </c>
      <c r="AT64" s="46">
        <f t="shared" si="167"/>
        <v>0</v>
      </c>
      <c r="AU64" s="44">
        <f t="shared" si="111"/>
        <v>0</v>
      </c>
      <c r="AV64" s="115"/>
      <c r="AW64" s="44">
        <f t="shared" si="112"/>
        <v>0</v>
      </c>
      <c r="AX64" s="115"/>
      <c r="AY64" s="44">
        <f t="shared" si="111"/>
        <v>0</v>
      </c>
      <c r="AZ64" s="115"/>
      <c r="BA64" s="44">
        <f t="shared" ref="BA64" si="189">ROUNDDOWN($C64*BB64,1)</f>
        <v>0</v>
      </c>
      <c r="BB64" s="115"/>
    </row>
    <row r="65" spans="1:54" s="67" customFormat="1" ht="25.5" x14ac:dyDescent="0.2">
      <c r="A65" s="71" t="s">
        <v>87</v>
      </c>
      <c r="B65" s="66" t="s">
        <v>77</v>
      </c>
      <c r="C65" s="44">
        <v>77</v>
      </c>
      <c r="D65" s="72">
        <f t="shared" si="96"/>
        <v>1917.5</v>
      </c>
      <c r="E65" s="112">
        <f>BB65</f>
        <v>24.902000000000001</v>
      </c>
      <c r="F65" s="44">
        <f t="shared" ref="F65:F71" si="190">ROUND(G65*C65,1)</f>
        <v>1917.4</v>
      </c>
      <c r="G65" s="113">
        <f>RCFs!$D$5</f>
        <v>24.901</v>
      </c>
      <c r="H65" s="44">
        <f t="shared" si="98"/>
        <v>1917.4</v>
      </c>
      <c r="I65" s="113">
        <f>RCFs!D5</f>
        <v>24.901</v>
      </c>
      <c r="J65" s="46">
        <f t="shared" si="180"/>
        <v>2109.1</v>
      </c>
      <c r="K65" s="46">
        <f t="shared" si="180"/>
        <v>2626.8</v>
      </c>
      <c r="L65" s="46">
        <f t="shared" si="180"/>
        <v>2818.5</v>
      </c>
      <c r="M65" s="46">
        <f t="shared" si="180"/>
        <v>3106.2</v>
      </c>
      <c r="N65" s="46">
        <f t="shared" si="180"/>
        <v>3834.8</v>
      </c>
      <c r="O65" s="46">
        <f t="shared" si="180"/>
        <v>4122.3999999999996</v>
      </c>
      <c r="P65" s="46">
        <f t="shared" si="180"/>
        <v>5752.1</v>
      </c>
      <c r="Q65" s="44">
        <f t="shared" si="100"/>
        <v>1926.4</v>
      </c>
      <c r="R65" s="113">
        <f>RCFs!D7</f>
        <v>25.018181818181819</v>
      </c>
      <c r="S65" s="46">
        <f t="shared" si="166"/>
        <v>2504.3000000000002</v>
      </c>
      <c r="T65" s="46">
        <f t="shared" si="166"/>
        <v>2889.6</v>
      </c>
      <c r="U65" s="44">
        <f t="shared" si="108"/>
        <v>1858</v>
      </c>
      <c r="V65" s="115">
        <f>RCFs!D9</f>
        <v>24.131</v>
      </c>
      <c r="W65" s="44">
        <f t="shared" si="109"/>
        <v>1858</v>
      </c>
      <c r="X65" s="115">
        <f t="shared" si="110"/>
        <v>24.131</v>
      </c>
      <c r="Y65" s="46">
        <f t="shared" ref="Y65:AD71" si="191">ROUND($C65*$X65*Y$6,1)</f>
        <v>2043.9</v>
      </c>
      <c r="Z65" s="46">
        <f t="shared" si="191"/>
        <v>2545.6</v>
      </c>
      <c r="AA65" s="46">
        <f t="shared" si="191"/>
        <v>3010.1</v>
      </c>
      <c r="AB65" s="46">
        <f t="shared" si="191"/>
        <v>2731.4</v>
      </c>
      <c r="AC65" s="46">
        <f t="shared" si="191"/>
        <v>4032</v>
      </c>
      <c r="AD65" s="46">
        <f t="shared" si="191"/>
        <v>5574.3</v>
      </c>
      <c r="AE65" s="44">
        <f t="shared" ref="AE65:AE71" si="192">ROUND(AF65*C65,1)</f>
        <v>1798</v>
      </c>
      <c r="AF65" s="115">
        <f>RCFs!D13</f>
        <v>23.35</v>
      </c>
      <c r="AG65" s="46">
        <f t="shared" ref="AG65:AI71" si="193">ROUND($AE65*AG$6,1)</f>
        <v>2966.7</v>
      </c>
      <c r="AH65" s="46">
        <f t="shared" si="193"/>
        <v>3775.8</v>
      </c>
      <c r="AI65" s="46">
        <f t="shared" si="193"/>
        <v>5394</v>
      </c>
      <c r="AJ65" s="44">
        <f t="shared" ref="AJ65:AJ71" si="194">ROUND(AK65*C65,1)</f>
        <v>1840.9</v>
      </c>
      <c r="AK65" s="115">
        <f>RCFs!D24</f>
        <v>23.907792207792209</v>
      </c>
      <c r="AL65" s="44">
        <f t="shared" ref="AL65:AL71" si="195">ROUND(AM65*C65,1)</f>
        <v>2538.6999999999998</v>
      </c>
      <c r="AM65" s="115">
        <f>RCFs!D28</f>
        <v>32.970129870129867</v>
      </c>
      <c r="AN65" s="44">
        <f t="shared" si="104"/>
        <v>2019.4</v>
      </c>
      <c r="AO65" s="115">
        <f>RCFs!D33</f>
        <v>26.227</v>
      </c>
      <c r="AP65" s="46">
        <f t="shared" si="105"/>
        <v>3029.1</v>
      </c>
      <c r="AQ65" s="44">
        <f t="shared" si="106"/>
        <v>1887.1</v>
      </c>
      <c r="AR65" s="115">
        <f>RCFs!D35</f>
        <v>24.507792207792207</v>
      </c>
      <c r="AS65" s="46">
        <f t="shared" si="167"/>
        <v>2453.1999999999998</v>
      </c>
      <c r="AT65" s="46">
        <f t="shared" si="167"/>
        <v>2736.2</v>
      </c>
      <c r="AU65" s="44">
        <f t="shared" si="111"/>
        <v>1948.6</v>
      </c>
      <c r="AV65" s="115">
        <f>RCFs!D37</f>
        <v>25.307621099279864</v>
      </c>
      <c r="AW65" s="44">
        <f t="shared" si="112"/>
        <v>1391.3</v>
      </c>
      <c r="AX65" s="115">
        <f>RCFs!C$64</f>
        <v>18.07</v>
      </c>
      <c r="AY65" s="44">
        <f t="shared" si="111"/>
        <v>1986.3</v>
      </c>
      <c r="AZ65" s="115">
        <f>RCFs!D39</f>
        <v>25.796103896103894</v>
      </c>
      <c r="BA65" s="44">
        <f t="shared" ref="BA65" si="196">ROUNDDOWN($C65*BB65,1)</f>
        <v>1917.4</v>
      </c>
      <c r="BB65" s="115">
        <f>RCFs!D41</f>
        <v>24.902000000000001</v>
      </c>
    </row>
    <row r="66" spans="1:54" s="67" customFormat="1" ht="38.25" x14ac:dyDescent="0.2">
      <c r="A66" s="73" t="s">
        <v>88</v>
      </c>
      <c r="B66" s="66" t="s">
        <v>78</v>
      </c>
      <c r="C66" s="44">
        <v>50</v>
      </c>
      <c r="D66" s="72">
        <f t="shared" si="96"/>
        <v>837.9</v>
      </c>
      <c r="E66" s="112">
        <f t="shared" ref="E66:E71" si="197">BB66</f>
        <v>16.757000000000001</v>
      </c>
      <c r="F66" s="44">
        <f t="shared" si="190"/>
        <v>837.7</v>
      </c>
      <c r="G66" s="113">
        <f>RCFs!$F$5</f>
        <v>16.753</v>
      </c>
      <c r="H66" s="44">
        <f t="shared" si="98"/>
        <v>837.7</v>
      </c>
      <c r="I66" s="113">
        <f>RCFs!$F$5</f>
        <v>16.753</v>
      </c>
      <c r="J66" s="46">
        <f t="shared" si="180"/>
        <v>921.4</v>
      </c>
      <c r="K66" s="46">
        <f t="shared" si="180"/>
        <v>1147.5999999999999</v>
      </c>
      <c r="L66" s="46">
        <f t="shared" si="180"/>
        <v>1231.3</v>
      </c>
      <c r="M66" s="46">
        <f t="shared" si="180"/>
        <v>1357</v>
      </c>
      <c r="N66" s="46">
        <f t="shared" si="180"/>
        <v>1675.3</v>
      </c>
      <c r="O66" s="46">
        <f t="shared" si="180"/>
        <v>1800.9</v>
      </c>
      <c r="P66" s="46">
        <f t="shared" si="180"/>
        <v>2513</v>
      </c>
      <c r="Q66" s="44">
        <f t="shared" si="100"/>
        <v>841.8</v>
      </c>
      <c r="R66" s="113">
        <f>RCFs!F$7</f>
        <v>16.835999999999999</v>
      </c>
      <c r="S66" s="46">
        <f t="shared" si="166"/>
        <v>1094.3</v>
      </c>
      <c r="T66" s="46">
        <f t="shared" si="166"/>
        <v>1262.7</v>
      </c>
      <c r="U66" s="44">
        <f t="shared" si="108"/>
        <v>811.9</v>
      </c>
      <c r="V66" s="115">
        <f>RCFs!F$9</f>
        <v>16.238</v>
      </c>
      <c r="W66" s="44">
        <f t="shared" si="109"/>
        <v>811.9</v>
      </c>
      <c r="X66" s="115">
        <f t="shared" si="110"/>
        <v>16.238</v>
      </c>
      <c r="Y66" s="46">
        <f t="shared" si="191"/>
        <v>893.1</v>
      </c>
      <c r="Z66" s="46">
        <f t="shared" si="191"/>
        <v>1112.3</v>
      </c>
      <c r="AA66" s="46">
        <f t="shared" si="191"/>
        <v>1315.3</v>
      </c>
      <c r="AB66" s="46">
        <f t="shared" si="191"/>
        <v>1193.5</v>
      </c>
      <c r="AC66" s="46">
        <f t="shared" si="191"/>
        <v>1761.8</v>
      </c>
      <c r="AD66" s="46">
        <f t="shared" si="191"/>
        <v>2435.6999999999998</v>
      </c>
      <c r="AE66" s="44">
        <f t="shared" si="192"/>
        <v>786.5</v>
      </c>
      <c r="AF66" s="115">
        <f>RCFs!F$13</f>
        <v>15.73</v>
      </c>
      <c r="AG66" s="46">
        <f t="shared" si="193"/>
        <v>1297.7</v>
      </c>
      <c r="AH66" s="46">
        <f t="shared" si="193"/>
        <v>1651.7</v>
      </c>
      <c r="AI66" s="46">
        <f t="shared" si="193"/>
        <v>2359.5</v>
      </c>
      <c r="AJ66" s="44">
        <f t="shared" si="194"/>
        <v>804.4</v>
      </c>
      <c r="AK66" s="115">
        <f>RCFs!F$24</f>
        <v>16.088000000000001</v>
      </c>
      <c r="AL66" s="44">
        <f t="shared" si="195"/>
        <v>1109.0999999999999</v>
      </c>
      <c r="AM66" s="115">
        <f>RCFs!F$28</f>
        <v>22.181999999999999</v>
      </c>
      <c r="AN66" s="44">
        <f t="shared" si="104"/>
        <v>882.4</v>
      </c>
      <c r="AO66" s="115">
        <f>RCFs!F$33</f>
        <v>17.648</v>
      </c>
      <c r="AP66" s="46">
        <f t="shared" si="105"/>
        <v>1323.6</v>
      </c>
      <c r="AQ66" s="44">
        <f t="shared" si="106"/>
        <v>824.6</v>
      </c>
      <c r="AR66" s="115">
        <f>RCFs!F$35</f>
        <v>16.492000000000001</v>
      </c>
      <c r="AS66" s="46">
        <f t="shared" si="167"/>
        <v>1071.9000000000001</v>
      </c>
      <c r="AT66" s="46">
        <f t="shared" si="167"/>
        <v>1195.5999999999999</v>
      </c>
      <c r="AU66" s="44">
        <f t="shared" si="111"/>
        <v>851.6</v>
      </c>
      <c r="AV66" s="115">
        <f>RCFs!F$37</f>
        <v>17.032</v>
      </c>
      <c r="AW66" s="44">
        <f t="shared" si="112"/>
        <v>861</v>
      </c>
      <c r="AX66" s="115">
        <f>RCFs!F$64</f>
        <v>17.22</v>
      </c>
      <c r="AY66" s="44">
        <f t="shared" si="111"/>
        <v>868</v>
      </c>
      <c r="AZ66" s="115">
        <f>RCFs!F$39</f>
        <v>17.36</v>
      </c>
      <c r="BA66" s="44">
        <f t="shared" ref="BA66" si="198">ROUNDDOWN($C66*BB66,1)</f>
        <v>837.8</v>
      </c>
      <c r="BB66" s="115">
        <f>RCFs!F$41</f>
        <v>16.757000000000001</v>
      </c>
    </row>
    <row r="67" spans="1:54" s="67" customFormat="1" ht="25.5" x14ac:dyDescent="0.2">
      <c r="A67" s="73" t="s">
        <v>89</v>
      </c>
      <c r="B67" s="66" t="s">
        <v>79</v>
      </c>
      <c r="C67" s="44">
        <v>50</v>
      </c>
      <c r="D67" s="72">
        <f t="shared" si="96"/>
        <v>837.9</v>
      </c>
      <c r="E67" s="112">
        <f t="shared" si="197"/>
        <v>16.757000000000001</v>
      </c>
      <c r="F67" s="44">
        <f t="shared" si="190"/>
        <v>837.7</v>
      </c>
      <c r="G67" s="113">
        <f>RCFs!$F$5</f>
        <v>16.753</v>
      </c>
      <c r="H67" s="44">
        <f t="shared" si="98"/>
        <v>837.7</v>
      </c>
      <c r="I67" s="113">
        <f>RCFs!$F$5</f>
        <v>16.753</v>
      </c>
      <c r="J67" s="46">
        <f t="shared" si="180"/>
        <v>921.4</v>
      </c>
      <c r="K67" s="46">
        <f t="shared" si="180"/>
        <v>1147.5999999999999</v>
      </c>
      <c r="L67" s="46">
        <f t="shared" si="180"/>
        <v>1231.3</v>
      </c>
      <c r="M67" s="46">
        <f t="shared" si="180"/>
        <v>1357</v>
      </c>
      <c r="N67" s="46">
        <f t="shared" si="180"/>
        <v>1675.3</v>
      </c>
      <c r="O67" s="46">
        <f t="shared" si="180"/>
        <v>1800.9</v>
      </c>
      <c r="P67" s="46">
        <f t="shared" si="180"/>
        <v>2513</v>
      </c>
      <c r="Q67" s="44">
        <f t="shared" si="100"/>
        <v>841.8</v>
      </c>
      <c r="R67" s="113">
        <f>RCFs!F$7</f>
        <v>16.835999999999999</v>
      </c>
      <c r="S67" s="46">
        <f t="shared" si="166"/>
        <v>1094.3</v>
      </c>
      <c r="T67" s="46">
        <f t="shared" si="166"/>
        <v>1262.7</v>
      </c>
      <c r="U67" s="44">
        <f t="shared" si="108"/>
        <v>811.9</v>
      </c>
      <c r="V67" s="115">
        <f>RCFs!F$9</f>
        <v>16.238</v>
      </c>
      <c r="W67" s="44">
        <f t="shared" si="109"/>
        <v>811.9</v>
      </c>
      <c r="X67" s="115">
        <f t="shared" si="110"/>
        <v>16.238</v>
      </c>
      <c r="Y67" s="46">
        <f t="shared" si="191"/>
        <v>893.1</v>
      </c>
      <c r="Z67" s="46">
        <f t="shared" si="191"/>
        <v>1112.3</v>
      </c>
      <c r="AA67" s="46">
        <f t="shared" si="191"/>
        <v>1315.3</v>
      </c>
      <c r="AB67" s="46">
        <f t="shared" si="191"/>
        <v>1193.5</v>
      </c>
      <c r="AC67" s="46">
        <f t="shared" si="191"/>
        <v>1761.8</v>
      </c>
      <c r="AD67" s="46">
        <f t="shared" si="191"/>
        <v>2435.6999999999998</v>
      </c>
      <c r="AE67" s="44">
        <f t="shared" si="192"/>
        <v>786.5</v>
      </c>
      <c r="AF67" s="115">
        <f>RCFs!F$13</f>
        <v>15.73</v>
      </c>
      <c r="AG67" s="46">
        <f t="shared" si="193"/>
        <v>1297.7</v>
      </c>
      <c r="AH67" s="46">
        <f t="shared" si="193"/>
        <v>1651.7</v>
      </c>
      <c r="AI67" s="46">
        <f t="shared" si="193"/>
        <v>2359.5</v>
      </c>
      <c r="AJ67" s="44">
        <f t="shared" si="194"/>
        <v>804.4</v>
      </c>
      <c r="AK67" s="115">
        <f>RCFs!F$24</f>
        <v>16.088000000000001</v>
      </c>
      <c r="AL67" s="44">
        <f t="shared" si="195"/>
        <v>1109.0999999999999</v>
      </c>
      <c r="AM67" s="115">
        <f>RCFs!F$28</f>
        <v>22.181999999999999</v>
      </c>
      <c r="AN67" s="44">
        <f t="shared" si="104"/>
        <v>882.4</v>
      </c>
      <c r="AO67" s="115">
        <f>RCFs!F$33</f>
        <v>17.648</v>
      </c>
      <c r="AP67" s="46">
        <f t="shared" si="105"/>
        <v>1323.6</v>
      </c>
      <c r="AQ67" s="44">
        <f t="shared" si="106"/>
        <v>824.6</v>
      </c>
      <c r="AR67" s="115">
        <f>RCFs!F$35</f>
        <v>16.492000000000001</v>
      </c>
      <c r="AS67" s="46">
        <f t="shared" si="167"/>
        <v>1071.9000000000001</v>
      </c>
      <c r="AT67" s="46">
        <f t="shared" si="167"/>
        <v>1195.5999999999999</v>
      </c>
      <c r="AU67" s="44">
        <f t="shared" si="111"/>
        <v>851.6</v>
      </c>
      <c r="AV67" s="115">
        <f>RCFs!F$37</f>
        <v>17.032</v>
      </c>
      <c r="AW67" s="44">
        <f t="shared" si="112"/>
        <v>861</v>
      </c>
      <c r="AX67" s="115">
        <f>RCFs!F$64</f>
        <v>17.22</v>
      </c>
      <c r="AY67" s="44">
        <f t="shared" ref="AY67" si="199">ROUNDDOWN($C67*AZ67,1)</f>
        <v>868</v>
      </c>
      <c r="AZ67" s="115">
        <f>RCFs!F$39</f>
        <v>17.36</v>
      </c>
      <c r="BA67" s="44">
        <f t="shared" ref="BA67" si="200">ROUNDDOWN($C67*BB67,1)</f>
        <v>837.8</v>
      </c>
      <c r="BB67" s="115">
        <f>RCFs!F$41</f>
        <v>16.757000000000001</v>
      </c>
    </row>
    <row r="68" spans="1:54" s="67" customFormat="1" ht="25.5" x14ac:dyDescent="0.2">
      <c r="A68" s="73" t="s">
        <v>90</v>
      </c>
      <c r="B68" s="66" t="s">
        <v>80</v>
      </c>
      <c r="C68" s="44">
        <v>40</v>
      </c>
      <c r="D68" s="72">
        <f t="shared" si="96"/>
        <v>670.3</v>
      </c>
      <c r="E68" s="112">
        <f t="shared" si="197"/>
        <v>16.757000000000001</v>
      </c>
      <c r="F68" s="44">
        <f t="shared" si="190"/>
        <v>670.1</v>
      </c>
      <c r="G68" s="113">
        <f>RCFs!$F$5</f>
        <v>16.753</v>
      </c>
      <c r="H68" s="44">
        <f t="shared" si="98"/>
        <v>670.1</v>
      </c>
      <c r="I68" s="113">
        <f>RCFs!$F$5</f>
        <v>16.753</v>
      </c>
      <c r="J68" s="46">
        <f t="shared" si="180"/>
        <v>737.1</v>
      </c>
      <c r="K68" s="46">
        <f t="shared" si="180"/>
        <v>918.1</v>
      </c>
      <c r="L68" s="46">
        <f t="shared" si="180"/>
        <v>985.1</v>
      </c>
      <c r="M68" s="46">
        <f t="shared" si="180"/>
        <v>1085.5999999999999</v>
      </c>
      <c r="N68" s="46">
        <f t="shared" si="180"/>
        <v>1340.2</v>
      </c>
      <c r="O68" s="46">
        <f t="shared" si="180"/>
        <v>1440.8</v>
      </c>
      <c r="P68" s="46">
        <f t="shared" si="180"/>
        <v>2010.4</v>
      </c>
      <c r="Q68" s="44">
        <f t="shared" si="100"/>
        <v>673.4</v>
      </c>
      <c r="R68" s="113">
        <f>RCFs!F$7</f>
        <v>16.835999999999999</v>
      </c>
      <c r="S68" s="46">
        <f t="shared" si="166"/>
        <v>875.4</v>
      </c>
      <c r="T68" s="46">
        <f t="shared" si="166"/>
        <v>1010.1</v>
      </c>
      <c r="U68" s="44">
        <f t="shared" si="108"/>
        <v>649.5</v>
      </c>
      <c r="V68" s="115">
        <f>RCFs!F$9</f>
        <v>16.238</v>
      </c>
      <c r="W68" s="44">
        <f t="shared" si="109"/>
        <v>649.5</v>
      </c>
      <c r="X68" s="115">
        <f t="shared" si="110"/>
        <v>16.238</v>
      </c>
      <c r="Y68" s="46">
        <f t="shared" si="191"/>
        <v>714.5</v>
      </c>
      <c r="Z68" s="46">
        <f t="shared" si="191"/>
        <v>889.8</v>
      </c>
      <c r="AA68" s="46">
        <f t="shared" si="191"/>
        <v>1052.2</v>
      </c>
      <c r="AB68" s="46">
        <f t="shared" si="191"/>
        <v>954.8</v>
      </c>
      <c r="AC68" s="46">
        <f t="shared" si="191"/>
        <v>1409.5</v>
      </c>
      <c r="AD68" s="46">
        <f t="shared" si="191"/>
        <v>1948.6</v>
      </c>
      <c r="AE68" s="44">
        <f t="shared" si="192"/>
        <v>629.20000000000005</v>
      </c>
      <c r="AF68" s="115">
        <f>RCFs!F$13</f>
        <v>15.73</v>
      </c>
      <c r="AG68" s="46">
        <f t="shared" si="193"/>
        <v>1038.2</v>
      </c>
      <c r="AH68" s="46">
        <f t="shared" si="193"/>
        <v>1321.3</v>
      </c>
      <c r="AI68" s="46">
        <f t="shared" si="193"/>
        <v>1887.6</v>
      </c>
      <c r="AJ68" s="44">
        <f t="shared" si="194"/>
        <v>643.5</v>
      </c>
      <c r="AK68" s="115">
        <f>RCFs!F$24</f>
        <v>16.088000000000001</v>
      </c>
      <c r="AL68" s="44">
        <f t="shared" si="195"/>
        <v>887.3</v>
      </c>
      <c r="AM68" s="115">
        <f>RCFs!F$28</f>
        <v>22.181999999999999</v>
      </c>
      <c r="AN68" s="44">
        <f t="shared" si="104"/>
        <v>705.9</v>
      </c>
      <c r="AO68" s="115">
        <f>RCFs!F$33</f>
        <v>17.648</v>
      </c>
      <c r="AP68" s="46">
        <f t="shared" si="105"/>
        <v>1058.8</v>
      </c>
      <c r="AQ68" s="44">
        <f t="shared" si="106"/>
        <v>659.6</v>
      </c>
      <c r="AR68" s="115">
        <f>RCFs!F$35</f>
        <v>16.492000000000001</v>
      </c>
      <c r="AS68" s="46">
        <f t="shared" si="167"/>
        <v>857.4</v>
      </c>
      <c r="AT68" s="46">
        <f t="shared" si="167"/>
        <v>956.4</v>
      </c>
      <c r="AU68" s="44">
        <f t="shared" si="111"/>
        <v>681.2</v>
      </c>
      <c r="AV68" s="115">
        <f>RCFs!F$37</f>
        <v>17.032</v>
      </c>
      <c r="AW68" s="44">
        <f t="shared" si="112"/>
        <v>688.8</v>
      </c>
      <c r="AX68" s="115">
        <f>RCFs!F$64</f>
        <v>17.22</v>
      </c>
      <c r="AY68" s="44">
        <f t="shared" ref="AY68" si="201">ROUNDDOWN($C68*AZ68,1)</f>
        <v>694.4</v>
      </c>
      <c r="AZ68" s="115">
        <f>RCFs!F$39</f>
        <v>17.36</v>
      </c>
      <c r="BA68" s="44">
        <f t="shared" ref="BA68" si="202">ROUNDDOWN($C68*BB68,1)</f>
        <v>670.2</v>
      </c>
      <c r="BB68" s="115">
        <f>RCFs!F$41</f>
        <v>16.757000000000001</v>
      </c>
    </row>
    <row r="69" spans="1:54" s="67" customFormat="1" ht="25.5" x14ac:dyDescent="0.2">
      <c r="A69" s="73" t="s">
        <v>91</v>
      </c>
      <c r="B69" s="66" t="s">
        <v>81</v>
      </c>
      <c r="C69" s="44">
        <v>78</v>
      </c>
      <c r="D69" s="72">
        <f t="shared" si="96"/>
        <v>1307</v>
      </c>
      <c r="E69" s="112">
        <f t="shared" si="197"/>
        <v>16.757000000000001</v>
      </c>
      <c r="F69" s="44">
        <f t="shared" si="190"/>
        <v>1306.7</v>
      </c>
      <c r="G69" s="113">
        <f>RCFs!$F$5</f>
        <v>16.753</v>
      </c>
      <c r="H69" s="44">
        <f t="shared" si="98"/>
        <v>1306.7</v>
      </c>
      <c r="I69" s="113">
        <f>RCFs!$F$5</f>
        <v>16.753</v>
      </c>
      <c r="J69" s="46">
        <f t="shared" si="180"/>
        <v>1437.4</v>
      </c>
      <c r="K69" s="46">
        <f t="shared" si="180"/>
        <v>1790.2</v>
      </c>
      <c r="L69" s="46">
        <f t="shared" si="180"/>
        <v>1920.9</v>
      </c>
      <c r="M69" s="46">
        <f t="shared" si="180"/>
        <v>2116.9</v>
      </c>
      <c r="N69" s="46">
        <f t="shared" si="180"/>
        <v>2613.5</v>
      </c>
      <c r="O69" s="46">
        <f t="shared" si="180"/>
        <v>2809.5</v>
      </c>
      <c r="P69" s="46">
        <f t="shared" si="180"/>
        <v>3920.2</v>
      </c>
      <c r="Q69" s="44">
        <f t="shared" si="100"/>
        <v>1313.2</v>
      </c>
      <c r="R69" s="113">
        <f>RCFs!F$7</f>
        <v>16.835999999999999</v>
      </c>
      <c r="S69" s="46">
        <f t="shared" si="166"/>
        <v>1707.1</v>
      </c>
      <c r="T69" s="46">
        <f t="shared" si="166"/>
        <v>1969.8</v>
      </c>
      <c r="U69" s="44">
        <f t="shared" si="108"/>
        <v>1266.5</v>
      </c>
      <c r="V69" s="115">
        <f>RCFs!F$9</f>
        <v>16.238</v>
      </c>
      <c r="W69" s="44">
        <f t="shared" si="109"/>
        <v>1266.5</v>
      </c>
      <c r="X69" s="115">
        <f t="shared" si="110"/>
        <v>16.238</v>
      </c>
      <c r="Y69" s="46">
        <f t="shared" si="191"/>
        <v>1393.2</v>
      </c>
      <c r="Z69" s="46">
        <f t="shared" si="191"/>
        <v>1735.2</v>
      </c>
      <c r="AA69" s="46">
        <f t="shared" si="191"/>
        <v>2051.8000000000002</v>
      </c>
      <c r="AB69" s="46">
        <f t="shared" si="191"/>
        <v>1861.8</v>
      </c>
      <c r="AC69" s="46">
        <f t="shared" si="191"/>
        <v>2748.4</v>
      </c>
      <c r="AD69" s="46">
        <f t="shared" si="191"/>
        <v>3799.7</v>
      </c>
      <c r="AE69" s="44">
        <f t="shared" si="192"/>
        <v>1226.9000000000001</v>
      </c>
      <c r="AF69" s="115">
        <f>RCFs!F$13</f>
        <v>15.73</v>
      </c>
      <c r="AG69" s="46">
        <f t="shared" si="193"/>
        <v>2024.4</v>
      </c>
      <c r="AH69" s="46">
        <f t="shared" si="193"/>
        <v>2576.5</v>
      </c>
      <c r="AI69" s="46">
        <f t="shared" si="193"/>
        <v>3680.7</v>
      </c>
      <c r="AJ69" s="44">
        <f t="shared" si="194"/>
        <v>1254.9000000000001</v>
      </c>
      <c r="AK69" s="115">
        <f>RCFs!F$24</f>
        <v>16.088000000000001</v>
      </c>
      <c r="AL69" s="44">
        <f t="shared" si="195"/>
        <v>1730.2</v>
      </c>
      <c r="AM69" s="115">
        <f>RCFs!F$28</f>
        <v>22.181999999999999</v>
      </c>
      <c r="AN69" s="44">
        <f t="shared" si="104"/>
        <v>1376.5</v>
      </c>
      <c r="AO69" s="115">
        <f>RCFs!F$33</f>
        <v>17.648</v>
      </c>
      <c r="AP69" s="46">
        <f t="shared" si="105"/>
        <v>2064.6999999999998</v>
      </c>
      <c r="AQ69" s="44">
        <f t="shared" si="106"/>
        <v>1286.3</v>
      </c>
      <c r="AR69" s="115">
        <f>RCFs!F$35</f>
        <v>16.492000000000001</v>
      </c>
      <c r="AS69" s="46">
        <f t="shared" si="167"/>
        <v>1672.1</v>
      </c>
      <c r="AT69" s="46">
        <f t="shared" si="167"/>
        <v>1865.1</v>
      </c>
      <c r="AU69" s="44">
        <f t="shared" si="111"/>
        <v>1328.4</v>
      </c>
      <c r="AV69" s="115">
        <f>RCFs!F$37</f>
        <v>17.032</v>
      </c>
      <c r="AW69" s="44">
        <f t="shared" si="112"/>
        <v>1343.1</v>
      </c>
      <c r="AX69" s="115">
        <f>RCFs!F$64</f>
        <v>17.22</v>
      </c>
      <c r="AY69" s="44">
        <f t="shared" ref="AY69" si="203">ROUNDDOWN($C69*AZ69,1)</f>
        <v>1354</v>
      </c>
      <c r="AZ69" s="115">
        <f>RCFs!F$39</f>
        <v>17.36</v>
      </c>
      <c r="BA69" s="44">
        <f t="shared" ref="BA69" si="204">ROUNDDOWN($C69*BB69,1)</f>
        <v>1307</v>
      </c>
      <c r="BB69" s="115">
        <f>RCFs!F$41</f>
        <v>16.757000000000001</v>
      </c>
    </row>
    <row r="70" spans="1:54" s="67" customFormat="1" x14ac:dyDescent="0.2">
      <c r="A70" s="73" t="s">
        <v>92</v>
      </c>
      <c r="B70" s="66" t="s">
        <v>82</v>
      </c>
      <c r="C70" s="44">
        <v>1</v>
      </c>
      <c r="D70" s="72">
        <f t="shared" si="96"/>
        <v>24.9</v>
      </c>
      <c r="E70" s="112">
        <f t="shared" si="197"/>
        <v>24.902000000000001</v>
      </c>
      <c r="F70" s="44">
        <f t="shared" si="190"/>
        <v>17.600000000000001</v>
      </c>
      <c r="G70" s="113">
        <f>RCFs!C5</f>
        <v>17.577000000000002</v>
      </c>
      <c r="H70" s="44">
        <f t="shared" si="98"/>
        <v>19.3</v>
      </c>
      <c r="I70" s="113">
        <f>RCFs!E5</f>
        <v>19.315000000000001</v>
      </c>
      <c r="J70" s="46">
        <f t="shared" si="180"/>
        <v>21.2</v>
      </c>
      <c r="K70" s="46">
        <f t="shared" si="180"/>
        <v>26.5</v>
      </c>
      <c r="L70" s="46">
        <f t="shared" si="180"/>
        <v>28.4</v>
      </c>
      <c r="M70" s="46">
        <f t="shared" si="180"/>
        <v>31.3</v>
      </c>
      <c r="N70" s="46">
        <f t="shared" si="180"/>
        <v>38.6</v>
      </c>
      <c r="O70" s="46">
        <f t="shared" si="180"/>
        <v>41.5</v>
      </c>
      <c r="P70" s="46">
        <f t="shared" si="180"/>
        <v>57.9</v>
      </c>
      <c r="Q70" s="44">
        <f t="shared" si="100"/>
        <v>0</v>
      </c>
      <c r="R70" s="113">
        <f>RCFs!E7</f>
        <v>0</v>
      </c>
      <c r="S70" s="46">
        <f t="shared" si="166"/>
        <v>0</v>
      </c>
      <c r="T70" s="46">
        <f t="shared" si="166"/>
        <v>0</v>
      </c>
      <c r="U70" s="44">
        <f t="shared" si="108"/>
        <v>19.100000000000001</v>
      </c>
      <c r="V70" s="115">
        <f>RCFs!E9</f>
        <v>19.14</v>
      </c>
      <c r="W70" s="44">
        <f t="shared" si="109"/>
        <v>19.100000000000001</v>
      </c>
      <c r="X70" s="115">
        <f t="shared" si="110"/>
        <v>19.14</v>
      </c>
      <c r="Y70" s="46">
        <f t="shared" si="191"/>
        <v>21.1</v>
      </c>
      <c r="Z70" s="46">
        <f t="shared" si="191"/>
        <v>26.2</v>
      </c>
      <c r="AA70" s="46">
        <f t="shared" si="191"/>
        <v>31</v>
      </c>
      <c r="AB70" s="46">
        <f t="shared" si="191"/>
        <v>28.1</v>
      </c>
      <c r="AC70" s="46">
        <f t="shared" si="191"/>
        <v>41.5</v>
      </c>
      <c r="AD70" s="46">
        <f t="shared" si="191"/>
        <v>57.4</v>
      </c>
      <c r="AE70" s="44">
        <f t="shared" si="192"/>
        <v>18.899999999999999</v>
      </c>
      <c r="AF70" s="115">
        <f>RCFs!E13</f>
        <v>18.91</v>
      </c>
      <c r="AG70" s="46">
        <f t="shared" si="193"/>
        <v>31.2</v>
      </c>
      <c r="AH70" s="46">
        <f t="shared" si="193"/>
        <v>39.700000000000003</v>
      </c>
      <c r="AI70" s="46">
        <f t="shared" si="193"/>
        <v>56.7</v>
      </c>
      <c r="AJ70" s="44">
        <f t="shared" si="194"/>
        <v>19.5</v>
      </c>
      <c r="AK70" s="115">
        <f>RCFs!E24</f>
        <v>19.502617801047119</v>
      </c>
      <c r="AL70" s="44">
        <f t="shared" si="195"/>
        <v>26.9</v>
      </c>
      <c r="AM70" s="115">
        <f>RCFs!E28</f>
        <v>26.900523560209418</v>
      </c>
      <c r="AN70" s="44">
        <f t="shared" si="104"/>
        <v>21.4</v>
      </c>
      <c r="AO70" s="115">
        <f>RCFs!E33</f>
        <v>21.402999999999999</v>
      </c>
      <c r="AP70" s="46">
        <f t="shared" si="105"/>
        <v>32.1</v>
      </c>
      <c r="AQ70" s="44">
        <f t="shared" si="106"/>
        <v>13.3</v>
      </c>
      <c r="AR70" s="115">
        <f>RCFs!E35</f>
        <v>13.32460732984293</v>
      </c>
      <c r="AS70" s="46">
        <f t="shared" si="167"/>
        <v>17.2</v>
      </c>
      <c r="AT70" s="46">
        <f t="shared" si="167"/>
        <v>19.2</v>
      </c>
      <c r="AU70" s="44">
        <f t="shared" si="111"/>
        <v>13.7</v>
      </c>
      <c r="AV70" s="115">
        <f>RCFs!E37</f>
        <v>13.769633507853403</v>
      </c>
      <c r="AW70" s="44">
        <f t="shared" si="112"/>
        <v>0</v>
      </c>
      <c r="AX70" s="115">
        <f>RCFs!E$64</f>
        <v>0</v>
      </c>
      <c r="AY70" s="44">
        <f t="shared" si="111"/>
        <v>18.100000000000001</v>
      </c>
      <c r="AZ70" s="115">
        <f>RCFs!E39</f>
        <v>18.178010471204185</v>
      </c>
      <c r="BA70" s="44">
        <f t="shared" ref="BA70:BA71" si="205">ROUNDDOWN($C70*BB70,1)</f>
        <v>24.9</v>
      </c>
      <c r="BB70" s="115">
        <f>RCFs!D41</f>
        <v>24.902000000000001</v>
      </c>
    </row>
    <row r="71" spans="1:54" s="67" customFormat="1" x14ac:dyDescent="0.2">
      <c r="A71" s="73" t="s">
        <v>93</v>
      </c>
      <c r="B71" s="66" t="s">
        <v>83</v>
      </c>
      <c r="C71" s="44">
        <v>50</v>
      </c>
      <c r="D71" s="72">
        <f t="shared" si="96"/>
        <v>837.9</v>
      </c>
      <c r="E71" s="112">
        <f t="shared" si="197"/>
        <v>16.757000000000001</v>
      </c>
      <c r="F71" s="44">
        <f t="shared" si="190"/>
        <v>837.7</v>
      </c>
      <c r="G71" s="113">
        <f>RCFs!$F$5</f>
        <v>16.753</v>
      </c>
      <c r="H71" s="44">
        <f t="shared" si="98"/>
        <v>837.7</v>
      </c>
      <c r="I71" s="113">
        <f>RCFs!$F$5</f>
        <v>16.753</v>
      </c>
      <c r="J71" s="46">
        <f t="shared" si="180"/>
        <v>921.4</v>
      </c>
      <c r="K71" s="46">
        <f t="shared" si="180"/>
        <v>1147.5999999999999</v>
      </c>
      <c r="L71" s="46">
        <f t="shared" si="180"/>
        <v>1231.3</v>
      </c>
      <c r="M71" s="46">
        <f t="shared" si="180"/>
        <v>1357</v>
      </c>
      <c r="N71" s="46">
        <f t="shared" si="180"/>
        <v>1675.3</v>
      </c>
      <c r="O71" s="46">
        <f t="shared" si="180"/>
        <v>1800.9</v>
      </c>
      <c r="P71" s="46">
        <f t="shared" si="180"/>
        <v>2513</v>
      </c>
      <c r="Q71" s="44">
        <f t="shared" si="100"/>
        <v>841.8</v>
      </c>
      <c r="R71" s="113">
        <f>RCFs!F$7</f>
        <v>16.835999999999999</v>
      </c>
      <c r="S71" s="46">
        <f t="shared" si="166"/>
        <v>1094.3</v>
      </c>
      <c r="T71" s="46">
        <f t="shared" si="166"/>
        <v>1262.7</v>
      </c>
      <c r="U71" s="44">
        <f t="shared" si="108"/>
        <v>811.9</v>
      </c>
      <c r="V71" s="115">
        <f>RCFs!F$9</f>
        <v>16.238</v>
      </c>
      <c r="W71" s="44">
        <f t="shared" si="109"/>
        <v>811.9</v>
      </c>
      <c r="X71" s="115">
        <f t="shared" si="110"/>
        <v>16.238</v>
      </c>
      <c r="Y71" s="46">
        <f t="shared" si="191"/>
        <v>893.1</v>
      </c>
      <c r="Z71" s="46">
        <f t="shared" si="191"/>
        <v>1112.3</v>
      </c>
      <c r="AA71" s="46">
        <f t="shared" si="191"/>
        <v>1315.3</v>
      </c>
      <c r="AB71" s="46">
        <f t="shared" si="191"/>
        <v>1193.5</v>
      </c>
      <c r="AC71" s="46">
        <f t="shared" si="191"/>
        <v>1761.8</v>
      </c>
      <c r="AD71" s="46">
        <f t="shared" si="191"/>
        <v>2435.6999999999998</v>
      </c>
      <c r="AE71" s="44">
        <f t="shared" si="192"/>
        <v>786.5</v>
      </c>
      <c r="AF71" s="115">
        <f>RCFs!F$13</f>
        <v>15.73</v>
      </c>
      <c r="AG71" s="46">
        <f t="shared" si="193"/>
        <v>1297.7</v>
      </c>
      <c r="AH71" s="46">
        <f t="shared" si="193"/>
        <v>1651.7</v>
      </c>
      <c r="AI71" s="46">
        <f t="shared" si="193"/>
        <v>2359.5</v>
      </c>
      <c r="AJ71" s="44">
        <f t="shared" si="194"/>
        <v>804.4</v>
      </c>
      <c r="AK71" s="115">
        <f>RCFs!F$24</f>
        <v>16.088000000000001</v>
      </c>
      <c r="AL71" s="44">
        <f t="shared" si="195"/>
        <v>1109.0999999999999</v>
      </c>
      <c r="AM71" s="115">
        <f>RCFs!F$28</f>
        <v>22.181999999999999</v>
      </c>
      <c r="AN71" s="44">
        <f t="shared" si="104"/>
        <v>882.4</v>
      </c>
      <c r="AO71" s="115">
        <f>RCFs!F$33</f>
        <v>17.648</v>
      </c>
      <c r="AP71" s="46">
        <f t="shared" si="105"/>
        <v>1323.6</v>
      </c>
      <c r="AQ71" s="44">
        <f t="shared" si="106"/>
        <v>824.6</v>
      </c>
      <c r="AR71" s="115">
        <f>RCFs!F$35</f>
        <v>16.492000000000001</v>
      </c>
      <c r="AS71" s="46">
        <f t="shared" si="167"/>
        <v>1071.9000000000001</v>
      </c>
      <c r="AT71" s="46">
        <f t="shared" si="167"/>
        <v>1195.5999999999999</v>
      </c>
      <c r="AU71" s="44">
        <f t="shared" si="111"/>
        <v>851.6</v>
      </c>
      <c r="AV71" s="115">
        <f>RCFs!F$37</f>
        <v>17.032</v>
      </c>
      <c r="AW71" s="44">
        <f t="shared" si="112"/>
        <v>861</v>
      </c>
      <c r="AX71" s="115">
        <f>RCFs!F$64</f>
        <v>17.22</v>
      </c>
      <c r="AY71" s="44">
        <f t="shared" si="111"/>
        <v>868</v>
      </c>
      <c r="AZ71" s="115">
        <f>RCFs!F$39</f>
        <v>17.36</v>
      </c>
      <c r="BA71" s="44">
        <f t="shared" si="205"/>
        <v>837.8</v>
      </c>
      <c r="BB71" s="115">
        <f>RCFs!F$41</f>
        <v>16.757000000000001</v>
      </c>
    </row>
    <row r="72" spans="1:54" x14ac:dyDescent="0.2">
      <c r="A72" s="74"/>
      <c r="B72" s="75"/>
      <c r="C72" s="76"/>
      <c r="D72" s="76"/>
      <c r="E72" s="77"/>
      <c r="F72" s="76"/>
      <c r="G72" s="77"/>
      <c r="H72" s="76"/>
      <c r="I72" s="77"/>
      <c r="J72" s="111"/>
      <c r="K72" s="111"/>
      <c r="L72" s="111"/>
      <c r="M72" s="111"/>
      <c r="N72" s="111"/>
      <c r="O72" s="111"/>
      <c r="P72" s="111"/>
      <c r="Q72" s="76"/>
      <c r="R72" s="77"/>
      <c r="S72" s="111"/>
      <c r="T72" s="111"/>
      <c r="U72" s="76"/>
      <c r="V72" s="77"/>
      <c r="W72" s="76"/>
      <c r="X72" s="77"/>
      <c r="Y72" s="78"/>
      <c r="Z72" s="78"/>
      <c r="AA72" s="78"/>
      <c r="AB72" s="78"/>
      <c r="AC72" s="78"/>
      <c r="AD72" s="78"/>
      <c r="AE72" s="76"/>
      <c r="AF72" s="77"/>
      <c r="AG72" s="79"/>
      <c r="AH72" s="79"/>
      <c r="AI72" s="79"/>
      <c r="AJ72" s="76"/>
      <c r="AK72" s="77"/>
      <c r="AL72" s="76"/>
      <c r="AM72" s="77"/>
      <c r="AN72" s="76"/>
      <c r="AO72" s="77"/>
      <c r="AP72" s="79"/>
      <c r="AQ72" s="76"/>
      <c r="AR72" s="77"/>
      <c r="AS72" s="79"/>
      <c r="AT72" s="79"/>
      <c r="AU72" s="53"/>
      <c r="AV72" s="54"/>
      <c r="AW72" s="290"/>
      <c r="AX72" s="291"/>
      <c r="AY72" s="53"/>
      <c r="AZ72" s="54"/>
      <c r="BA72" s="53"/>
      <c r="BB72" s="54"/>
    </row>
    <row r="73" spans="1:54" x14ac:dyDescent="0.2">
      <c r="A73" s="23"/>
      <c r="B73" s="24" t="s">
        <v>141</v>
      </c>
      <c r="C73" s="25"/>
      <c r="D73" s="26"/>
      <c r="E73" s="27"/>
      <c r="F73" s="26"/>
      <c r="G73" s="27"/>
      <c r="H73" s="26"/>
      <c r="I73" s="27"/>
      <c r="J73" s="27"/>
      <c r="K73" s="27"/>
      <c r="L73" s="27"/>
      <c r="M73" s="27"/>
      <c r="N73" s="27"/>
      <c r="O73" s="27"/>
      <c r="P73" s="27"/>
      <c r="Q73" s="26"/>
      <c r="R73" s="27"/>
      <c r="S73" s="27"/>
      <c r="T73" s="27"/>
      <c r="U73" s="28"/>
      <c r="V73" s="27"/>
      <c r="W73" s="28"/>
      <c r="X73" s="27"/>
      <c r="Y73" s="30"/>
      <c r="Z73" s="29"/>
      <c r="AA73" s="30"/>
      <c r="AB73" s="30"/>
      <c r="AC73" s="30"/>
      <c r="AD73" s="30"/>
      <c r="AE73" s="28"/>
      <c r="AF73" s="27"/>
      <c r="AG73" s="26"/>
      <c r="AH73" s="26"/>
      <c r="AI73" s="31"/>
      <c r="AJ73" s="26"/>
      <c r="AK73" s="26"/>
      <c r="AL73" s="26"/>
      <c r="AM73" s="26"/>
      <c r="AN73" s="28"/>
      <c r="AO73" s="27"/>
      <c r="AP73" s="26"/>
      <c r="AQ73" s="28"/>
      <c r="AR73" s="27"/>
      <c r="AS73" s="26"/>
      <c r="AT73" s="26"/>
      <c r="AU73" s="27"/>
      <c r="AV73" s="27"/>
      <c r="AW73" s="27"/>
      <c r="AX73" s="27"/>
      <c r="AY73" s="27"/>
      <c r="AZ73" s="27"/>
      <c r="BA73" s="27"/>
      <c r="BB73" s="127"/>
    </row>
    <row r="74" spans="1:54" x14ac:dyDescent="0.2">
      <c r="A74" s="58"/>
      <c r="B74" s="59"/>
      <c r="C74" s="60"/>
      <c r="D74" s="36"/>
      <c r="E74" s="61"/>
      <c r="F74" s="36"/>
      <c r="G74" s="61"/>
      <c r="H74" s="36"/>
      <c r="I74" s="61"/>
      <c r="J74" s="64"/>
      <c r="K74" s="64"/>
      <c r="L74" s="64"/>
      <c r="M74" s="64"/>
      <c r="N74" s="64"/>
      <c r="O74" s="64"/>
      <c r="P74" s="64"/>
      <c r="Q74" s="36"/>
      <c r="R74" s="61"/>
      <c r="S74" s="64"/>
      <c r="T74" s="64"/>
      <c r="U74" s="36"/>
      <c r="V74" s="61"/>
      <c r="W74" s="36"/>
      <c r="X74" s="61"/>
      <c r="Y74" s="63"/>
      <c r="Z74" s="63"/>
      <c r="AA74" s="63"/>
      <c r="AB74" s="63"/>
      <c r="AC74" s="63"/>
      <c r="AD74" s="63"/>
      <c r="AE74" s="36"/>
      <c r="AF74" s="61"/>
      <c r="AG74" s="64"/>
      <c r="AH74" s="64"/>
      <c r="AI74" s="64"/>
      <c r="AJ74" s="62"/>
      <c r="AK74" s="61"/>
      <c r="AL74" s="36"/>
      <c r="AM74" s="61"/>
      <c r="AN74" s="36"/>
      <c r="AO74" s="61"/>
      <c r="AP74" s="64"/>
      <c r="AQ74" s="36"/>
      <c r="AR74" s="61"/>
      <c r="AS74" s="64"/>
      <c r="AT74" s="64"/>
      <c r="AU74" s="36"/>
      <c r="AV74" s="61"/>
      <c r="AW74" s="292"/>
      <c r="AX74" s="293"/>
      <c r="AY74" s="36"/>
      <c r="AZ74" s="61"/>
      <c r="BA74" s="36"/>
      <c r="BB74" s="61"/>
    </row>
    <row r="75" spans="1:54" x14ac:dyDescent="0.2">
      <c r="A75" s="65">
        <v>2599</v>
      </c>
      <c r="B75" s="66" t="s">
        <v>142</v>
      </c>
      <c r="C75" s="44">
        <v>63.6</v>
      </c>
      <c r="D75" s="44">
        <f t="shared" ref="D75:D84" si="206">ROUND(E75*C75,1)</f>
        <v>4333.8</v>
      </c>
      <c r="E75" s="113">
        <f>RCFs!$C$43</f>
        <v>68.141894999999991</v>
      </c>
      <c r="F75" s="159">
        <f t="shared" ref="F75:F84" si="207">ROUND(G75*C75,1)</f>
        <v>1117.9000000000001</v>
      </c>
      <c r="G75" s="160">
        <f>RCFs!$C$5</f>
        <v>17.577000000000002</v>
      </c>
      <c r="H75" s="159">
        <f t="shared" ref="H75:H84" si="208">ROUND(I75*C75,1)</f>
        <v>1117.9000000000001</v>
      </c>
      <c r="I75" s="160">
        <f>RCFs!$C$5</f>
        <v>17.577000000000002</v>
      </c>
      <c r="J75" s="161">
        <f t="shared" ref="J75:P84" si="209">ROUND($C75*$I75*J$6,1)</f>
        <v>1229.7</v>
      </c>
      <c r="K75" s="161">
        <f t="shared" si="209"/>
        <v>1531.5</v>
      </c>
      <c r="L75" s="161">
        <f t="shared" si="209"/>
        <v>1643.3</v>
      </c>
      <c r="M75" s="161">
        <f t="shared" si="209"/>
        <v>1811</v>
      </c>
      <c r="N75" s="161">
        <f t="shared" si="209"/>
        <v>2235.8000000000002</v>
      </c>
      <c r="O75" s="161">
        <f t="shared" si="209"/>
        <v>2403.5</v>
      </c>
      <c r="P75" s="161">
        <f t="shared" si="209"/>
        <v>3353.7</v>
      </c>
      <c r="Q75" s="159">
        <f t="shared" ref="Q75:Q84" si="210">ROUNDDOWN(C75*R75,1)</f>
        <v>1123.0999999999999</v>
      </c>
      <c r="R75" s="160">
        <f>RCFs!$C$7</f>
        <v>17.66</v>
      </c>
      <c r="S75" s="161">
        <f t="shared" ref="S75:T84" si="211">ROUNDDOWN($Q75*S$6,1)</f>
        <v>1460</v>
      </c>
      <c r="T75" s="161">
        <f t="shared" si="211"/>
        <v>1684.6</v>
      </c>
      <c r="U75" s="159">
        <f t="shared" ref="U75" si="212">ROUNDDOWN($C75*V75,1)</f>
        <v>1083.3</v>
      </c>
      <c r="V75" s="160">
        <f>RCFs!$C$9</f>
        <v>17.033999999999999</v>
      </c>
      <c r="W75" s="159">
        <f t="shared" ref="W75" si="213">ROUNDDOWN($C75*X75,1)</f>
        <v>1083.3</v>
      </c>
      <c r="X75" s="160">
        <f t="shared" ref="X75" si="214">V75</f>
        <v>17.033999999999999</v>
      </c>
      <c r="Y75" s="161">
        <f t="shared" ref="Y75:AD84" si="215">ROUND($C75*$X75*Y$6,1)</f>
        <v>1191.7</v>
      </c>
      <c r="Z75" s="161">
        <f t="shared" si="215"/>
        <v>1484.2</v>
      </c>
      <c r="AA75" s="161">
        <f t="shared" si="215"/>
        <v>1755</v>
      </c>
      <c r="AB75" s="161">
        <f t="shared" si="215"/>
        <v>1592.5</v>
      </c>
      <c r="AC75" s="161">
        <f t="shared" si="215"/>
        <v>2350.9</v>
      </c>
      <c r="AD75" s="161">
        <f t="shared" si="215"/>
        <v>3250.1</v>
      </c>
      <c r="AE75" s="159">
        <f t="shared" ref="AE75:AE84" si="216">ROUND(AF75*C75,1)</f>
        <v>1048.0999999999999</v>
      </c>
      <c r="AF75" s="160">
        <f>RCFs!C$13</f>
        <v>16.48</v>
      </c>
      <c r="AG75" s="161">
        <f t="shared" ref="AG75:AI84" si="217">ROUND($AE75*AG$6,1)</f>
        <v>1729.4</v>
      </c>
      <c r="AH75" s="161">
        <f t="shared" si="217"/>
        <v>2201</v>
      </c>
      <c r="AI75" s="161">
        <f t="shared" si="217"/>
        <v>3144.3</v>
      </c>
      <c r="AJ75" s="159">
        <f t="shared" ref="AJ75:AJ84" si="218">ROUND(AK75*C75,1)</f>
        <v>1073.4000000000001</v>
      </c>
      <c r="AK75" s="160">
        <f>RCFs!C$24</f>
        <v>16.876666666666669</v>
      </c>
      <c r="AL75" s="159">
        <f t="shared" ref="AL75:AL84" si="219">ROUND(AM75*C75,1)</f>
        <v>1479.1</v>
      </c>
      <c r="AM75" s="160">
        <f>RCFs!$C$28</f>
        <v>23.256666666666668</v>
      </c>
      <c r="AN75" s="159">
        <f t="shared" ref="AN75:AN84" si="220">ROUNDDOWN(C75*AO75,1)</f>
        <v>1177.4000000000001</v>
      </c>
      <c r="AO75" s="160">
        <f>RCFs!C$33</f>
        <v>18.513999999999999</v>
      </c>
      <c r="AP75" s="161">
        <f t="shared" ref="AP75:AP84" si="221">ROUNDDOWN($AN75*AP$6,1)</f>
        <v>1766.1</v>
      </c>
      <c r="AQ75" s="159">
        <f t="shared" ref="AQ75:AQ84" si="222">ROUNDDOWN(AR75*C75,1)</f>
        <v>1100.7</v>
      </c>
      <c r="AR75" s="160">
        <f>RCFs!$C$35</f>
        <v>17.306666666666668</v>
      </c>
      <c r="AS75" s="161">
        <f t="shared" ref="AS75:AT84" si="223">ROUNDDOWN($AQ75*AS$6,1)</f>
        <v>1430.9</v>
      </c>
      <c r="AT75" s="161">
        <f t="shared" si="223"/>
        <v>1596</v>
      </c>
      <c r="AU75" s="44">
        <v>710.8</v>
      </c>
      <c r="AV75" s="42">
        <f t="shared" ref="AV75:AV84" si="224">AU75/C75</f>
        <v>11.176100628930817</v>
      </c>
      <c r="AW75" s="44">
        <f t="shared" ref="AW75:AW84" si="225">ROUNDDOWN(AX75*C75,1)</f>
        <v>1149.2</v>
      </c>
      <c r="AX75" s="115">
        <f>RCFs!C$64</f>
        <v>18.07</v>
      </c>
      <c r="AY75" s="159">
        <f t="shared" ref="AY75" si="226">ROUNDDOWN($C75*AZ75,1)</f>
        <v>1165.3</v>
      </c>
      <c r="AZ75" s="160">
        <f>RCFs!C$39</f>
        <v>18.323333333333334</v>
      </c>
      <c r="BA75" s="159">
        <f t="shared" ref="BA75" si="227">ROUNDDOWN($C75*BB75,1)</f>
        <v>1118</v>
      </c>
      <c r="BB75" s="160">
        <f>RCFs!$C$41</f>
        <v>17.579000000000001</v>
      </c>
    </row>
    <row r="76" spans="1:54" s="67" customFormat="1" ht="14.25" customHeight="1" x14ac:dyDescent="0.2">
      <c r="A76" s="65">
        <v>2600</v>
      </c>
      <c r="B76" s="66" t="s">
        <v>143</v>
      </c>
      <c r="C76" s="44">
        <v>63.6</v>
      </c>
      <c r="D76" s="44">
        <f t="shared" si="206"/>
        <v>4333.8</v>
      </c>
      <c r="E76" s="113">
        <f>RCFs!$C$43</f>
        <v>68.141894999999991</v>
      </c>
      <c r="F76" s="159">
        <f t="shared" si="207"/>
        <v>1117.9000000000001</v>
      </c>
      <c r="G76" s="160">
        <f>RCFs!$C$5</f>
        <v>17.577000000000002</v>
      </c>
      <c r="H76" s="159">
        <f t="shared" si="208"/>
        <v>1117.9000000000001</v>
      </c>
      <c r="I76" s="160">
        <f>RCFs!$C$5</f>
        <v>17.577000000000002</v>
      </c>
      <c r="J76" s="161">
        <f t="shared" si="209"/>
        <v>1229.7</v>
      </c>
      <c r="K76" s="161">
        <f t="shared" si="209"/>
        <v>1531.5</v>
      </c>
      <c r="L76" s="161">
        <f t="shared" si="209"/>
        <v>1643.3</v>
      </c>
      <c r="M76" s="161">
        <f t="shared" si="209"/>
        <v>1811</v>
      </c>
      <c r="N76" s="161">
        <f t="shared" si="209"/>
        <v>2235.8000000000002</v>
      </c>
      <c r="O76" s="161">
        <f t="shared" si="209"/>
        <v>2403.5</v>
      </c>
      <c r="P76" s="161">
        <f t="shared" si="209"/>
        <v>3353.7</v>
      </c>
      <c r="Q76" s="159">
        <f t="shared" si="210"/>
        <v>1123.0999999999999</v>
      </c>
      <c r="R76" s="160">
        <f>RCFs!$C$7</f>
        <v>17.66</v>
      </c>
      <c r="S76" s="161">
        <f t="shared" si="211"/>
        <v>1460</v>
      </c>
      <c r="T76" s="161">
        <f t="shared" si="211"/>
        <v>1684.6</v>
      </c>
      <c r="U76" s="159">
        <f t="shared" ref="U76:U84" si="228">ROUNDDOWN($C76*V76,1)</f>
        <v>1083.3</v>
      </c>
      <c r="V76" s="160">
        <f>RCFs!$C$9</f>
        <v>17.033999999999999</v>
      </c>
      <c r="W76" s="159">
        <f t="shared" ref="W76:W84" si="229">ROUNDDOWN($C76*X76,1)</f>
        <v>1083.3</v>
      </c>
      <c r="X76" s="160">
        <f t="shared" ref="X76:X84" si="230">V76</f>
        <v>17.033999999999999</v>
      </c>
      <c r="Y76" s="161">
        <f t="shared" si="215"/>
        <v>1191.7</v>
      </c>
      <c r="Z76" s="161">
        <f t="shared" si="215"/>
        <v>1484.2</v>
      </c>
      <c r="AA76" s="161">
        <f t="shared" si="215"/>
        <v>1755</v>
      </c>
      <c r="AB76" s="161">
        <f t="shared" si="215"/>
        <v>1592.5</v>
      </c>
      <c r="AC76" s="161">
        <f t="shared" si="215"/>
        <v>2350.9</v>
      </c>
      <c r="AD76" s="161">
        <f t="shared" si="215"/>
        <v>3250.1</v>
      </c>
      <c r="AE76" s="159">
        <f t="shared" si="216"/>
        <v>1048.0999999999999</v>
      </c>
      <c r="AF76" s="160">
        <f>RCFs!C$13</f>
        <v>16.48</v>
      </c>
      <c r="AG76" s="161">
        <f t="shared" si="217"/>
        <v>1729.4</v>
      </c>
      <c r="AH76" s="161">
        <f t="shared" si="217"/>
        <v>2201</v>
      </c>
      <c r="AI76" s="161">
        <f t="shared" si="217"/>
        <v>3144.3</v>
      </c>
      <c r="AJ76" s="159">
        <f t="shared" si="218"/>
        <v>1073.4000000000001</v>
      </c>
      <c r="AK76" s="160">
        <f>RCFs!C$24</f>
        <v>16.876666666666669</v>
      </c>
      <c r="AL76" s="159">
        <f t="shared" si="219"/>
        <v>1479.1</v>
      </c>
      <c r="AM76" s="160">
        <f>RCFs!$C$28</f>
        <v>23.256666666666668</v>
      </c>
      <c r="AN76" s="159">
        <f t="shared" si="220"/>
        <v>1177.4000000000001</v>
      </c>
      <c r="AO76" s="160">
        <f>RCFs!C$33</f>
        <v>18.513999999999999</v>
      </c>
      <c r="AP76" s="161">
        <f t="shared" si="221"/>
        <v>1766.1</v>
      </c>
      <c r="AQ76" s="159">
        <f t="shared" si="222"/>
        <v>1100.7</v>
      </c>
      <c r="AR76" s="160">
        <f>RCFs!$C$35</f>
        <v>17.306666666666668</v>
      </c>
      <c r="AS76" s="161">
        <f t="shared" si="223"/>
        <v>1430.9</v>
      </c>
      <c r="AT76" s="161">
        <f t="shared" si="223"/>
        <v>1596</v>
      </c>
      <c r="AU76" s="44">
        <v>834.1</v>
      </c>
      <c r="AV76" s="42">
        <f t="shared" si="224"/>
        <v>13.114779874213836</v>
      </c>
      <c r="AW76" s="44">
        <f t="shared" si="225"/>
        <v>1149.2</v>
      </c>
      <c r="AX76" s="115">
        <f>RCFs!C$64</f>
        <v>18.07</v>
      </c>
      <c r="AY76" s="159">
        <f t="shared" ref="AY76:AY84" si="231">ROUNDDOWN($C76*AZ76,1)</f>
        <v>1165.3</v>
      </c>
      <c r="AZ76" s="160">
        <f>RCFs!C$39</f>
        <v>18.323333333333334</v>
      </c>
      <c r="BA76" s="159">
        <f t="shared" ref="BA76:BA84" si="232">ROUNDDOWN($C76*BB76,1)</f>
        <v>1118</v>
      </c>
      <c r="BB76" s="160">
        <f>RCFs!$C$41</f>
        <v>17.579000000000001</v>
      </c>
    </row>
    <row r="77" spans="1:54" s="67" customFormat="1" ht="25.5" x14ac:dyDescent="0.2">
      <c r="A77" s="65">
        <v>2604</v>
      </c>
      <c r="B77" s="66" t="s">
        <v>144</v>
      </c>
      <c r="C77" s="44">
        <v>54.2</v>
      </c>
      <c r="D77" s="44">
        <f t="shared" si="206"/>
        <v>3693.3</v>
      </c>
      <c r="E77" s="113">
        <f>RCFs!$C$43</f>
        <v>68.141894999999991</v>
      </c>
      <c r="F77" s="159">
        <f t="shared" si="207"/>
        <v>952.7</v>
      </c>
      <c r="G77" s="160">
        <f>RCFs!$C$5</f>
        <v>17.577000000000002</v>
      </c>
      <c r="H77" s="159">
        <f t="shared" si="208"/>
        <v>952.7</v>
      </c>
      <c r="I77" s="160">
        <f>RCFs!$C$5</f>
        <v>17.577000000000002</v>
      </c>
      <c r="J77" s="161">
        <f t="shared" si="209"/>
        <v>1047.9000000000001</v>
      </c>
      <c r="K77" s="161">
        <f t="shared" si="209"/>
        <v>1305.2</v>
      </c>
      <c r="L77" s="161">
        <f t="shared" si="209"/>
        <v>1400.4</v>
      </c>
      <c r="M77" s="161">
        <f t="shared" si="209"/>
        <v>1543.3</v>
      </c>
      <c r="N77" s="161">
        <f t="shared" si="209"/>
        <v>1905.3</v>
      </c>
      <c r="O77" s="161">
        <f t="shared" si="209"/>
        <v>2048.1999999999998</v>
      </c>
      <c r="P77" s="161">
        <f t="shared" si="209"/>
        <v>2858</v>
      </c>
      <c r="Q77" s="159">
        <f t="shared" si="210"/>
        <v>957.1</v>
      </c>
      <c r="R77" s="160">
        <f>RCFs!$C$7</f>
        <v>17.66</v>
      </c>
      <c r="S77" s="161">
        <f t="shared" si="211"/>
        <v>1244.2</v>
      </c>
      <c r="T77" s="161">
        <f t="shared" si="211"/>
        <v>1435.6</v>
      </c>
      <c r="U77" s="159">
        <f t="shared" si="228"/>
        <v>923.2</v>
      </c>
      <c r="V77" s="160">
        <f>RCFs!$C$9</f>
        <v>17.033999999999999</v>
      </c>
      <c r="W77" s="159">
        <f t="shared" si="229"/>
        <v>923.2</v>
      </c>
      <c r="X77" s="160">
        <f t="shared" si="230"/>
        <v>17.033999999999999</v>
      </c>
      <c r="Y77" s="161">
        <f t="shared" si="215"/>
        <v>1015.6</v>
      </c>
      <c r="Z77" s="161">
        <f t="shared" si="215"/>
        <v>1264.8</v>
      </c>
      <c r="AA77" s="161">
        <f t="shared" si="215"/>
        <v>1495.7</v>
      </c>
      <c r="AB77" s="161">
        <f t="shared" si="215"/>
        <v>1357.2</v>
      </c>
      <c r="AC77" s="161">
        <f t="shared" si="215"/>
        <v>2003.4</v>
      </c>
      <c r="AD77" s="161">
        <f t="shared" si="215"/>
        <v>2769.7</v>
      </c>
      <c r="AE77" s="159">
        <f t="shared" si="216"/>
        <v>893.2</v>
      </c>
      <c r="AF77" s="160">
        <f>RCFs!C$13</f>
        <v>16.48</v>
      </c>
      <c r="AG77" s="161">
        <f t="shared" si="217"/>
        <v>1473.8</v>
      </c>
      <c r="AH77" s="161">
        <f t="shared" si="217"/>
        <v>1875.7</v>
      </c>
      <c r="AI77" s="161">
        <f t="shared" si="217"/>
        <v>2679.6</v>
      </c>
      <c r="AJ77" s="159">
        <f t="shared" si="218"/>
        <v>914.7</v>
      </c>
      <c r="AK77" s="160">
        <f>RCFs!C$24</f>
        <v>16.876666666666669</v>
      </c>
      <c r="AL77" s="159">
        <f t="shared" si="219"/>
        <v>1260.5</v>
      </c>
      <c r="AM77" s="160">
        <f>RCFs!$C$28</f>
        <v>23.256666666666668</v>
      </c>
      <c r="AN77" s="159">
        <f t="shared" si="220"/>
        <v>1003.4</v>
      </c>
      <c r="AO77" s="160">
        <f>RCFs!C$33</f>
        <v>18.513999999999999</v>
      </c>
      <c r="AP77" s="161">
        <f t="shared" si="221"/>
        <v>1505.1</v>
      </c>
      <c r="AQ77" s="159">
        <f t="shared" si="222"/>
        <v>938</v>
      </c>
      <c r="AR77" s="160">
        <f>RCFs!$C$35</f>
        <v>17.306666666666668</v>
      </c>
      <c r="AS77" s="161">
        <f t="shared" si="223"/>
        <v>1219.4000000000001</v>
      </c>
      <c r="AT77" s="161">
        <f t="shared" si="223"/>
        <v>1360.1</v>
      </c>
      <c r="AU77" s="44">
        <v>834.1</v>
      </c>
      <c r="AV77" s="42">
        <f t="shared" si="224"/>
        <v>15.389298892988929</v>
      </c>
      <c r="AW77" s="44">
        <f t="shared" si="225"/>
        <v>979.3</v>
      </c>
      <c r="AX77" s="115">
        <f>RCFs!C$64</f>
        <v>18.07</v>
      </c>
      <c r="AY77" s="159">
        <f t="shared" si="231"/>
        <v>993.1</v>
      </c>
      <c r="AZ77" s="160">
        <f>RCFs!C$39</f>
        <v>18.323333333333334</v>
      </c>
      <c r="BA77" s="159">
        <f t="shared" si="232"/>
        <v>952.7</v>
      </c>
      <c r="BB77" s="160">
        <f>RCFs!$C$41</f>
        <v>17.579000000000001</v>
      </c>
    </row>
    <row r="78" spans="1:54" s="67" customFormat="1" x14ac:dyDescent="0.2">
      <c r="A78" s="68">
        <v>2605</v>
      </c>
      <c r="B78" s="69" t="s">
        <v>145</v>
      </c>
      <c r="C78" s="44">
        <v>24.4</v>
      </c>
      <c r="D78" s="44">
        <f t="shared" si="206"/>
        <v>1662.7</v>
      </c>
      <c r="E78" s="113">
        <f>RCFs!$C$43</f>
        <v>68.141894999999991</v>
      </c>
      <c r="F78" s="159">
        <f t="shared" si="207"/>
        <v>428.9</v>
      </c>
      <c r="G78" s="160">
        <f>RCFs!$C$5</f>
        <v>17.577000000000002</v>
      </c>
      <c r="H78" s="159">
        <f t="shared" si="208"/>
        <v>428.9</v>
      </c>
      <c r="I78" s="160">
        <f>RCFs!$C$5</f>
        <v>17.577000000000002</v>
      </c>
      <c r="J78" s="161">
        <f t="shared" si="209"/>
        <v>471.8</v>
      </c>
      <c r="K78" s="161">
        <f t="shared" si="209"/>
        <v>587.6</v>
      </c>
      <c r="L78" s="161">
        <f t="shared" si="209"/>
        <v>630.5</v>
      </c>
      <c r="M78" s="161">
        <f t="shared" si="209"/>
        <v>694.8</v>
      </c>
      <c r="N78" s="161">
        <f t="shared" si="209"/>
        <v>857.8</v>
      </c>
      <c r="O78" s="161">
        <f t="shared" si="209"/>
        <v>922.1</v>
      </c>
      <c r="P78" s="161">
        <f t="shared" si="209"/>
        <v>1286.5999999999999</v>
      </c>
      <c r="Q78" s="159">
        <f t="shared" si="210"/>
        <v>430.9</v>
      </c>
      <c r="R78" s="160">
        <f>RCFs!$C$7</f>
        <v>17.66</v>
      </c>
      <c r="S78" s="161">
        <f t="shared" si="211"/>
        <v>560.1</v>
      </c>
      <c r="T78" s="161">
        <f t="shared" si="211"/>
        <v>646.29999999999995</v>
      </c>
      <c r="U78" s="159">
        <f t="shared" si="228"/>
        <v>415.6</v>
      </c>
      <c r="V78" s="160">
        <f>RCFs!$C$9</f>
        <v>17.033999999999999</v>
      </c>
      <c r="W78" s="159">
        <f t="shared" si="229"/>
        <v>415.6</v>
      </c>
      <c r="X78" s="160">
        <f t="shared" si="230"/>
        <v>17.033999999999999</v>
      </c>
      <c r="Y78" s="161">
        <f t="shared" si="215"/>
        <v>457.2</v>
      </c>
      <c r="Z78" s="161">
        <f t="shared" si="215"/>
        <v>569.4</v>
      </c>
      <c r="AA78" s="161">
        <f t="shared" si="215"/>
        <v>673.3</v>
      </c>
      <c r="AB78" s="161">
        <f t="shared" si="215"/>
        <v>611</v>
      </c>
      <c r="AC78" s="161">
        <f t="shared" si="215"/>
        <v>901.9</v>
      </c>
      <c r="AD78" s="161">
        <f t="shared" si="215"/>
        <v>1246.9000000000001</v>
      </c>
      <c r="AE78" s="159">
        <f t="shared" si="216"/>
        <v>402.1</v>
      </c>
      <c r="AF78" s="160">
        <f>RCFs!C$13</f>
        <v>16.48</v>
      </c>
      <c r="AG78" s="161">
        <f t="shared" si="217"/>
        <v>663.5</v>
      </c>
      <c r="AH78" s="161">
        <f t="shared" si="217"/>
        <v>844.4</v>
      </c>
      <c r="AI78" s="161">
        <f t="shared" si="217"/>
        <v>1206.3</v>
      </c>
      <c r="AJ78" s="159">
        <f t="shared" si="218"/>
        <v>411.8</v>
      </c>
      <c r="AK78" s="160">
        <f>RCFs!C$24</f>
        <v>16.876666666666669</v>
      </c>
      <c r="AL78" s="159">
        <f t="shared" si="219"/>
        <v>567.5</v>
      </c>
      <c r="AM78" s="160">
        <f>RCFs!$C$28</f>
        <v>23.256666666666668</v>
      </c>
      <c r="AN78" s="159">
        <f t="shared" si="220"/>
        <v>451.7</v>
      </c>
      <c r="AO78" s="160">
        <f>RCFs!C$33</f>
        <v>18.513999999999999</v>
      </c>
      <c r="AP78" s="161">
        <f t="shared" si="221"/>
        <v>677.5</v>
      </c>
      <c r="AQ78" s="159">
        <f t="shared" si="222"/>
        <v>422.2</v>
      </c>
      <c r="AR78" s="160">
        <f>RCFs!$C$35</f>
        <v>17.306666666666668</v>
      </c>
      <c r="AS78" s="161">
        <f t="shared" si="223"/>
        <v>548.79999999999995</v>
      </c>
      <c r="AT78" s="161">
        <f t="shared" si="223"/>
        <v>612.1</v>
      </c>
      <c r="AU78" s="44">
        <v>312.60000000000002</v>
      </c>
      <c r="AV78" s="42">
        <f t="shared" si="224"/>
        <v>12.811475409836067</v>
      </c>
      <c r="AW78" s="44">
        <f t="shared" si="225"/>
        <v>440.9</v>
      </c>
      <c r="AX78" s="115">
        <f>RCFs!C$64</f>
        <v>18.07</v>
      </c>
      <c r="AY78" s="159">
        <f t="shared" si="231"/>
        <v>447</v>
      </c>
      <c r="AZ78" s="160">
        <f>RCFs!C$39</f>
        <v>18.323333333333334</v>
      </c>
      <c r="BA78" s="159">
        <f t="shared" si="232"/>
        <v>428.9</v>
      </c>
      <c r="BB78" s="160">
        <f>RCFs!$C$41</f>
        <v>17.579000000000001</v>
      </c>
    </row>
    <row r="79" spans="1:54" s="67" customFormat="1" x14ac:dyDescent="0.2">
      <c r="A79" s="65">
        <v>2606</v>
      </c>
      <c r="B79" s="66" t="s">
        <v>146</v>
      </c>
      <c r="C79" s="44">
        <v>61.2</v>
      </c>
      <c r="D79" s="44">
        <f t="shared" si="206"/>
        <v>4170.3</v>
      </c>
      <c r="E79" s="113">
        <f>RCFs!$C$43</f>
        <v>68.141894999999991</v>
      </c>
      <c r="F79" s="159">
        <f t="shared" si="207"/>
        <v>1075.7</v>
      </c>
      <c r="G79" s="160">
        <f>RCFs!$C$5</f>
        <v>17.577000000000002</v>
      </c>
      <c r="H79" s="159">
        <f t="shared" si="208"/>
        <v>1075.7</v>
      </c>
      <c r="I79" s="160">
        <f>RCFs!$C$5</f>
        <v>17.577000000000002</v>
      </c>
      <c r="J79" s="161">
        <f t="shared" si="209"/>
        <v>1183.3</v>
      </c>
      <c r="K79" s="161">
        <f t="shared" si="209"/>
        <v>1473.7</v>
      </c>
      <c r="L79" s="161">
        <f t="shared" si="209"/>
        <v>1581.3</v>
      </c>
      <c r="M79" s="161">
        <f t="shared" si="209"/>
        <v>1742.7</v>
      </c>
      <c r="N79" s="161">
        <f t="shared" si="209"/>
        <v>2151.4</v>
      </c>
      <c r="O79" s="161">
        <f t="shared" si="209"/>
        <v>2312.8000000000002</v>
      </c>
      <c r="P79" s="161">
        <f t="shared" si="209"/>
        <v>3227.1</v>
      </c>
      <c r="Q79" s="159">
        <f t="shared" si="210"/>
        <v>1080.7</v>
      </c>
      <c r="R79" s="160">
        <f>RCFs!$C$7</f>
        <v>17.66</v>
      </c>
      <c r="S79" s="161">
        <f t="shared" si="211"/>
        <v>1404.9</v>
      </c>
      <c r="T79" s="161">
        <f t="shared" si="211"/>
        <v>1621</v>
      </c>
      <c r="U79" s="159">
        <f t="shared" si="228"/>
        <v>1042.4000000000001</v>
      </c>
      <c r="V79" s="160">
        <f>RCFs!$C$9</f>
        <v>17.033999999999999</v>
      </c>
      <c r="W79" s="159">
        <f t="shared" si="229"/>
        <v>1042.4000000000001</v>
      </c>
      <c r="X79" s="160">
        <f t="shared" si="230"/>
        <v>17.033999999999999</v>
      </c>
      <c r="Y79" s="161">
        <f t="shared" si="215"/>
        <v>1146.7</v>
      </c>
      <c r="Z79" s="161">
        <f t="shared" si="215"/>
        <v>1428.2</v>
      </c>
      <c r="AA79" s="161">
        <f t="shared" si="215"/>
        <v>1688.8</v>
      </c>
      <c r="AB79" s="161">
        <f t="shared" si="215"/>
        <v>1532.4</v>
      </c>
      <c r="AC79" s="161">
        <f t="shared" si="215"/>
        <v>2262.1999999999998</v>
      </c>
      <c r="AD79" s="161">
        <f t="shared" si="215"/>
        <v>3127.4</v>
      </c>
      <c r="AE79" s="159">
        <f t="shared" si="216"/>
        <v>1008.6</v>
      </c>
      <c r="AF79" s="160">
        <f>RCFs!C$13</f>
        <v>16.48</v>
      </c>
      <c r="AG79" s="161">
        <f t="shared" si="217"/>
        <v>1664.2</v>
      </c>
      <c r="AH79" s="161">
        <f t="shared" si="217"/>
        <v>2118.1</v>
      </c>
      <c r="AI79" s="161">
        <f t="shared" si="217"/>
        <v>3025.8</v>
      </c>
      <c r="AJ79" s="159">
        <f t="shared" si="218"/>
        <v>1032.9000000000001</v>
      </c>
      <c r="AK79" s="160">
        <f>RCFs!C$24</f>
        <v>16.876666666666669</v>
      </c>
      <c r="AL79" s="159">
        <f t="shared" si="219"/>
        <v>1423.3</v>
      </c>
      <c r="AM79" s="160">
        <f>RCFs!$C$28</f>
        <v>23.256666666666668</v>
      </c>
      <c r="AN79" s="159">
        <f t="shared" si="220"/>
        <v>1133</v>
      </c>
      <c r="AO79" s="160">
        <f>RCFs!C$33</f>
        <v>18.513999999999999</v>
      </c>
      <c r="AP79" s="161">
        <f t="shared" si="221"/>
        <v>1699.5</v>
      </c>
      <c r="AQ79" s="159">
        <f t="shared" si="222"/>
        <v>1059.0999999999999</v>
      </c>
      <c r="AR79" s="160">
        <f>RCFs!$C$35</f>
        <v>17.306666666666668</v>
      </c>
      <c r="AS79" s="161">
        <f t="shared" si="223"/>
        <v>1376.8</v>
      </c>
      <c r="AT79" s="161">
        <f t="shared" si="223"/>
        <v>1535.6</v>
      </c>
      <c r="AU79" s="44">
        <v>783.9</v>
      </c>
      <c r="AV79" s="42">
        <f t="shared" si="224"/>
        <v>12.808823529411764</v>
      </c>
      <c r="AW79" s="44">
        <f t="shared" si="225"/>
        <v>1105.8</v>
      </c>
      <c r="AX79" s="115">
        <f>RCFs!C$64</f>
        <v>18.07</v>
      </c>
      <c r="AY79" s="159">
        <f t="shared" si="231"/>
        <v>1121.3</v>
      </c>
      <c r="AZ79" s="160">
        <f>RCFs!C$39</f>
        <v>18.323333333333334</v>
      </c>
      <c r="BA79" s="159">
        <f t="shared" si="232"/>
        <v>1075.8</v>
      </c>
      <c r="BB79" s="160">
        <f>RCFs!$C$41</f>
        <v>17.579000000000001</v>
      </c>
    </row>
    <row r="80" spans="1:54" s="67" customFormat="1" x14ac:dyDescent="0.2">
      <c r="A80" s="65">
        <v>2608</v>
      </c>
      <c r="B80" s="66" t="s">
        <v>149</v>
      </c>
      <c r="C80" s="44">
        <v>156.80000000000001</v>
      </c>
      <c r="D80" s="44">
        <f>ROUND(E80*C80,1)</f>
        <v>10684.6</v>
      </c>
      <c r="E80" s="113">
        <f>RCFs!$C$43</f>
        <v>68.141894999999991</v>
      </c>
      <c r="F80" s="159">
        <f t="shared" si="207"/>
        <v>2756.1</v>
      </c>
      <c r="G80" s="160">
        <f>RCFs!$C$5</f>
        <v>17.577000000000002</v>
      </c>
      <c r="H80" s="159">
        <f t="shared" si="208"/>
        <v>2756.1</v>
      </c>
      <c r="I80" s="160">
        <f>RCFs!$C$5</f>
        <v>17.577000000000002</v>
      </c>
      <c r="J80" s="161">
        <f t="shared" si="209"/>
        <v>3031.7</v>
      </c>
      <c r="K80" s="161">
        <f t="shared" si="209"/>
        <v>3775.8</v>
      </c>
      <c r="L80" s="161">
        <f t="shared" si="209"/>
        <v>4051.4</v>
      </c>
      <c r="M80" s="161">
        <f t="shared" si="209"/>
        <v>4464.8</v>
      </c>
      <c r="N80" s="161">
        <f t="shared" si="209"/>
        <v>5512.1</v>
      </c>
      <c r="O80" s="161">
        <f t="shared" si="209"/>
        <v>5925.6</v>
      </c>
      <c r="P80" s="161">
        <f t="shared" si="209"/>
        <v>8268.2000000000007</v>
      </c>
      <c r="Q80" s="159">
        <f t="shared" si="210"/>
        <v>2769</v>
      </c>
      <c r="R80" s="160">
        <f>RCFs!$C$7</f>
        <v>17.66</v>
      </c>
      <c r="S80" s="161">
        <f t="shared" si="211"/>
        <v>3599.7</v>
      </c>
      <c r="T80" s="161">
        <f t="shared" si="211"/>
        <v>4153.5</v>
      </c>
      <c r="U80" s="159">
        <f t="shared" si="228"/>
        <v>2670.9</v>
      </c>
      <c r="V80" s="160">
        <f>RCFs!$C$9</f>
        <v>17.033999999999999</v>
      </c>
      <c r="W80" s="159">
        <f t="shared" si="229"/>
        <v>2670.9</v>
      </c>
      <c r="X80" s="160">
        <f t="shared" si="230"/>
        <v>17.033999999999999</v>
      </c>
      <c r="Y80" s="161">
        <f t="shared" si="215"/>
        <v>2938</v>
      </c>
      <c r="Z80" s="161">
        <f t="shared" si="215"/>
        <v>3659.2</v>
      </c>
      <c r="AA80" s="161">
        <f t="shared" si="215"/>
        <v>4326.8999999999996</v>
      </c>
      <c r="AB80" s="161">
        <f t="shared" si="215"/>
        <v>3926.3</v>
      </c>
      <c r="AC80" s="161">
        <f t="shared" si="215"/>
        <v>5795.9</v>
      </c>
      <c r="AD80" s="161">
        <f t="shared" si="215"/>
        <v>8012.8</v>
      </c>
      <c r="AE80" s="159">
        <f t="shared" si="216"/>
        <v>2584.1</v>
      </c>
      <c r="AF80" s="160">
        <f>RCFs!C$13</f>
        <v>16.48</v>
      </c>
      <c r="AG80" s="161">
        <f t="shared" si="217"/>
        <v>4263.8</v>
      </c>
      <c r="AH80" s="161">
        <f t="shared" si="217"/>
        <v>5426.6</v>
      </c>
      <c r="AI80" s="161">
        <f t="shared" si="217"/>
        <v>7752.3</v>
      </c>
      <c r="AJ80" s="159">
        <f t="shared" si="218"/>
        <v>2646.3</v>
      </c>
      <c r="AK80" s="160">
        <f>RCFs!C$24</f>
        <v>16.876666666666669</v>
      </c>
      <c r="AL80" s="159">
        <f t="shared" si="219"/>
        <v>3646.6</v>
      </c>
      <c r="AM80" s="160">
        <f>RCFs!$C$28</f>
        <v>23.256666666666668</v>
      </c>
      <c r="AN80" s="159">
        <f t="shared" si="220"/>
        <v>2902.9</v>
      </c>
      <c r="AO80" s="160">
        <f>RCFs!C$33</f>
        <v>18.513999999999999</v>
      </c>
      <c r="AP80" s="161">
        <f t="shared" si="221"/>
        <v>4354.3</v>
      </c>
      <c r="AQ80" s="159">
        <f t="shared" si="222"/>
        <v>2713.6</v>
      </c>
      <c r="AR80" s="160">
        <f>RCFs!$C$35</f>
        <v>17.306666666666668</v>
      </c>
      <c r="AS80" s="161">
        <f t="shared" si="223"/>
        <v>3527.6</v>
      </c>
      <c r="AT80" s="161">
        <f t="shared" si="223"/>
        <v>3934.7</v>
      </c>
      <c r="AU80" s="44">
        <v>2008.7</v>
      </c>
      <c r="AV80" s="42">
        <f t="shared" si="224"/>
        <v>12.810586734693876</v>
      </c>
      <c r="AW80" s="44">
        <f t="shared" si="225"/>
        <v>2833.3</v>
      </c>
      <c r="AX80" s="115">
        <f>RCFs!C$64</f>
        <v>18.07</v>
      </c>
      <c r="AY80" s="159">
        <f t="shared" si="231"/>
        <v>2873</v>
      </c>
      <c r="AZ80" s="160">
        <f>RCFs!C$39</f>
        <v>18.323333333333334</v>
      </c>
      <c r="BA80" s="159">
        <f t="shared" si="232"/>
        <v>2756.3</v>
      </c>
      <c r="BB80" s="160">
        <f>RCFs!$C$41</f>
        <v>17.579000000000001</v>
      </c>
    </row>
    <row r="81" spans="1:54" s="67" customFormat="1" x14ac:dyDescent="0.2">
      <c r="A81" s="65">
        <v>2609</v>
      </c>
      <c r="B81" s="66" t="s">
        <v>147</v>
      </c>
      <c r="C81" s="44">
        <v>107.9</v>
      </c>
      <c r="D81" s="44">
        <f t="shared" si="206"/>
        <v>7352.5</v>
      </c>
      <c r="E81" s="113">
        <f>RCFs!$C$43</f>
        <v>68.141894999999991</v>
      </c>
      <c r="F81" s="159">
        <f t="shared" si="207"/>
        <v>1896.6</v>
      </c>
      <c r="G81" s="160">
        <f>RCFs!$C$5</f>
        <v>17.577000000000002</v>
      </c>
      <c r="H81" s="159">
        <f t="shared" si="208"/>
        <v>1896.6</v>
      </c>
      <c r="I81" s="160">
        <f>RCFs!$C$5</f>
        <v>17.577000000000002</v>
      </c>
      <c r="J81" s="161">
        <f t="shared" si="209"/>
        <v>2086.1999999999998</v>
      </c>
      <c r="K81" s="161">
        <f t="shared" si="209"/>
        <v>2598.3000000000002</v>
      </c>
      <c r="L81" s="161">
        <f t="shared" si="209"/>
        <v>2787.9</v>
      </c>
      <c r="M81" s="161">
        <f t="shared" si="209"/>
        <v>3072.4</v>
      </c>
      <c r="N81" s="161">
        <f t="shared" si="209"/>
        <v>3793.1</v>
      </c>
      <c r="O81" s="161">
        <f t="shared" si="209"/>
        <v>4077.6</v>
      </c>
      <c r="P81" s="161">
        <f t="shared" si="209"/>
        <v>5689.7</v>
      </c>
      <c r="Q81" s="159">
        <f t="shared" si="210"/>
        <v>1905.5</v>
      </c>
      <c r="R81" s="160">
        <f>RCFs!$C$7</f>
        <v>17.66</v>
      </c>
      <c r="S81" s="161">
        <f t="shared" si="211"/>
        <v>2477.1</v>
      </c>
      <c r="T81" s="161">
        <f t="shared" si="211"/>
        <v>2858.2</v>
      </c>
      <c r="U81" s="159">
        <f t="shared" si="228"/>
        <v>1837.9</v>
      </c>
      <c r="V81" s="160">
        <f>RCFs!$C$9</f>
        <v>17.033999999999999</v>
      </c>
      <c r="W81" s="159">
        <f t="shared" si="229"/>
        <v>1837.9</v>
      </c>
      <c r="X81" s="160">
        <f t="shared" si="230"/>
        <v>17.033999999999999</v>
      </c>
      <c r="Y81" s="161">
        <f t="shared" si="215"/>
        <v>2021.8</v>
      </c>
      <c r="Z81" s="161">
        <f t="shared" si="215"/>
        <v>2518</v>
      </c>
      <c r="AA81" s="161">
        <f t="shared" si="215"/>
        <v>2977.5</v>
      </c>
      <c r="AB81" s="161">
        <f t="shared" si="215"/>
        <v>2701.8</v>
      </c>
      <c r="AC81" s="161">
        <f t="shared" si="215"/>
        <v>3988.4</v>
      </c>
      <c r="AD81" s="161">
        <f t="shared" si="215"/>
        <v>5513.9</v>
      </c>
      <c r="AE81" s="159">
        <f t="shared" si="216"/>
        <v>1778.2</v>
      </c>
      <c r="AF81" s="160">
        <f>RCFs!C$13</f>
        <v>16.48</v>
      </c>
      <c r="AG81" s="161">
        <f t="shared" si="217"/>
        <v>2934</v>
      </c>
      <c r="AH81" s="161">
        <f t="shared" si="217"/>
        <v>3734.2</v>
      </c>
      <c r="AI81" s="161">
        <f t="shared" si="217"/>
        <v>5334.6</v>
      </c>
      <c r="AJ81" s="159">
        <f t="shared" si="218"/>
        <v>1821</v>
      </c>
      <c r="AK81" s="160">
        <f>RCFs!C$24</f>
        <v>16.876666666666669</v>
      </c>
      <c r="AL81" s="159">
        <f t="shared" si="219"/>
        <v>2509.4</v>
      </c>
      <c r="AM81" s="160">
        <f>RCFs!$C$28</f>
        <v>23.256666666666668</v>
      </c>
      <c r="AN81" s="159">
        <f t="shared" si="220"/>
        <v>1997.6</v>
      </c>
      <c r="AO81" s="160">
        <f>RCFs!C$33</f>
        <v>18.513999999999999</v>
      </c>
      <c r="AP81" s="161">
        <f t="shared" si="221"/>
        <v>2996.4</v>
      </c>
      <c r="AQ81" s="159">
        <f t="shared" si="222"/>
        <v>1867.3</v>
      </c>
      <c r="AR81" s="160">
        <f>RCFs!$C$35</f>
        <v>17.306666666666668</v>
      </c>
      <c r="AS81" s="161">
        <f t="shared" si="223"/>
        <v>2427.4</v>
      </c>
      <c r="AT81" s="161">
        <f t="shared" si="223"/>
        <v>2707.5</v>
      </c>
      <c r="AU81" s="44">
        <v>1382.2</v>
      </c>
      <c r="AV81" s="42">
        <f t="shared" si="224"/>
        <v>12.810009267840593</v>
      </c>
      <c r="AW81" s="44">
        <f t="shared" si="225"/>
        <v>1949.7</v>
      </c>
      <c r="AX81" s="115">
        <f>RCFs!C$64</f>
        <v>18.07</v>
      </c>
      <c r="AY81" s="159">
        <f t="shared" si="231"/>
        <v>1977</v>
      </c>
      <c r="AZ81" s="160">
        <f>RCFs!C$39</f>
        <v>18.323333333333334</v>
      </c>
      <c r="BA81" s="159">
        <f t="shared" si="232"/>
        <v>1896.7</v>
      </c>
      <c r="BB81" s="160">
        <f>RCFs!$C$41</f>
        <v>17.579000000000001</v>
      </c>
    </row>
    <row r="82" spans="1:54" s="67" customFormat="1" x14ac:dyDescent="0.2">
      <c r="A82" s="65">
        <v>2611</v>
      </c>
      <c r="B82" s="66" t="s">
        <v>148</v>
      </c>
      <c r="C82" s="44">
        <v>39.9</v>
      </c>
      <c r="D82" s="44">
        <f t="shared" si="206"/>
        <v>2718.9</v>
      </c>
      <c r="E82" s="113">
        <f>RCFs!$C$43</f>
        <v>68.141894999999991</v>
      </c>
      <c r="F82" s="159">
        <f t="shared" si="207"/>
        <v>701.3</v>
      </c>
      <c r="G82" s="160">
        <f>RCFs!$C$5</f>
        <v>17.577000000000002</v>
      </c>
      <c r="H82" s="159">
        <f t="shared" si="208"/>
        <v>701.3</v>
      </c>
      <c r="I82" s="160">
        <f>RCFs!$C$5</f>
        <v>17.577000000000002</v>
      </c>
      <c r="J82" s="161">
        <f t="shared" si="209"/>
        <v>771.5</v>
      </c>
      <c r="K82" s="161">
        <f t="shared" si="209"/>
        <v>960.8</v>
      </c>
      <c r="L82" s="161">
        <f t="shared" si="209"/>
        <v>1030.9000000000001</v>
      </c>
      <c r="M82" s="161">
        <f t="shared" si="209"/>
        <v>1136.0999999999999</v>
      </c>
      <c r="N82" s="161">
        <f t="shared" si="209"/>
        <v>1402.6</v>
      </c>
      <c r="O82" s="161">
        <f t="shared" si="209"/>
        <v>1507.8</v>
      </c>
      <c r="P82" s="161">
        <f t="shared" si="209"/>
        <v>2104</v>
      </c>
      <c r="Q82" s="159">
        <f t="shared" si="210"/>
        <v>704.6</v>
      </c>
      <c r="R82" s="160">
        <f>RCFs!$C$7</f>
        <v>17.66</v>
      </c>
      <c r="S82" s="161">
        <f t="shared" si="211"/>
        <v>915.9</v>
      </c>
      <c r="T82" s="161">
        <f t="shared" si="211"/>
        <v>1056.9000000000001</v>
      </c>
      <c r="U82" s="159">
        <f t="shared" si="228"/>
        <v>679.6</v>
      </c>
      <c r="V82" s="160">
        <f>RCFs!$C$9</f>
        <v>17.033999999999999</v>
      </c>
      <c r="W82" s="159">
        <f t="shared" si="229"/>
        <v>679.6</v>
      </c>
      <c r="X82" s="160">
        <f t="shared" si="230"/>
        <v>17.033999999999999</v>
      </c>
      <c r="Y82" s="161">
        <f t="shared" si="215"/>
        <v>747.6</v>
      </c>
      <c r="Z82" s="161">
        <f t="shared" si="215"/>
        <v>931.1</v>
      </c>
      <c r="AA82" s="161">
        <f t="shared" si="215"/>
        <v>1101</v>
      </c>
      <c r="AB82" s="161">
        <f t="shared" si="215"/>
        <v>999.1</v>
      </c>
      <c r="AC82" s="161">
        <f t="shared" si="215"/>
        <v>1474.9</v>
      </c>
      <c r="AD82" s="161">
        <f t="shared" si="215"/>
        <v>2039</v>
      </c>
      <c r="AE82" s="159">
        <f t="shared" si="216"/>
        <v>657.6</v>
      </c>
      <c r="AF82" s="160">
        <f>RCFs!C$13</f>
        <v>16.48</v>
      </c>
      <c r="AG82" s="161">
        <f t="shared" si="217"/>
        <v>1085</v>
      </c>
      <c r="AH82" s="161">
        <f t="shared" si="217"/>
        <v>1381</v>
      </c>
      <c r="AI82" s="161">
        <f t="shared" si="217"/>
        <v>1972.8</v>
      </c>
      <c r="AJ82" s="159">
        <f t="shared" si="218"/>
        <v>673.4</v>
      </c>
      <c r="AK82" s="160">
        <f>RCFs!C$24</f>
        <v>16.876666666666669</v>
      </c>
      <c r="AL82" s="159">
        <f t="shared" si="219"/>
        <v>927.9</v>
      </c>
      <c r="AM82" s="160">
        <f>RCFs!$C$28</f>
        <v>23.256666666666668</v>
      </c>
      <c r="AN82" s="159">
        <f t="shared" si="220"/>
        <v>738.7</v>
      </c>
      <c r="AO82" s="160">
        <f>RCFs!C$33</f>
        <v>18.513999999999999</v>
      </c>
      <c r="AP82" s="161">
        <f t="shared" si="221"/>
        <v>1108</v>
      </c>
      <c r="AQ82" s="159">
        <f t="shared" si="222"/>
        <v>690.5</v>
      </c>
      <c r="AR82" s="160">
        <f>RCFs!$C$35</f>
        <v>17.306666666666668</v>
      </c>
      <c r="AS82" s="161">
        <f t="shared" si="223"/>
        <v>897.6</v>
      </c>
      <c r="AT82" s="161">
        <f t="shared" si="223"/>
        <v>1001.2</v>
      </c>
      <c r="AU82" s="44">
        <v>511.1</v>
      </c>
      <c r="AV82" s="42">
        <f t="shared" si="224"/>
        <v>12.80952380952381</v>
      </c>
      <c r="AW82" s="44">
        <f t="shared" si="225"/>
        <v>720.9</v>
      </c>
      <c r="AX82" s="115">
        <f>RCFs!C$64</f>
        <v>18.07</v>
      </c>
      <c r="AY82" s="159">
        <f t="shared" si="231"/>
        <v>731.1</v>
      </c>
      <c r="AZ82" s="160">
        <f>RCFs!C$39</f>
        <v>18.323333333333334</v>
      </c>
      <c r="BA82" s="159">
        <f t="shared" si="232"/>
        <v>701.4</v>
      </c>
      <c r="BB82" s="160">
        <f>RCFs!$C$41</f>
        <v>17.579000000000001</v>
      </c>
    </row>
    <row r="83" spans="1:54" s="67" customFormat="1" ht="25.5" x14ac:dyDescent="0.2">
      <c r="A83" s="65">
        <v>2612</v>
      </c>
      <c r="B83" s="66" t="s">
        <v>150</v>
      </c>
      <c r="C83" s="44">
        <v>93.3</v>
      </c>
      <c r="D83" s="44">
        <f t="shared" si="206"/>
        <v>6357.6</v>
      </c>
      <c r="E83" s="113">
        <f>RCFs!$C$43</f>
        <v>68.141894999999991</v>
      </c>
      <c r="F83" s="159">
        <f t="shared" si="207"/>
        <v>1639.9</v>
      </c>
      <c r="G83" s="160">
        <f>RCFs!$C$5</f>
        <v>17.577000000000002</v>
      </c>
      <c r="H83" s="159">
        <f t="shared" si="208"/>
        <v>1639.9</v>
      </c>
      <c r="I83" s="160">
        <f>RCFs!$C$5</f>
        <v>17.577000000000002</v>
      </c>
      <c r="J83" s="161">
        <f t="shared" si="209"/>
        <v>1803.9</v>
      </c>
      <c r="K83" s="161">
        <f t="shared" si="209"/>
        <v>2246.6999999999998</v>
      </c>
      <c r="L83" s="161">
        <f t="shared" si="209"/>
        <v>2410.6999999999998</v>
      </c>
      <c r="M83" s="161">
        <f t="shared" si="209"/>
        <v>2656.7</v>
      </c>
      <c r="N83" s="161">
        <f t="shared" si="209"/>
        <v>3279.9</v>
      </c>
      <c r="O83" s="161">
        <f t="shared" si="209"/>
        <v>3525.9</v>
      </c>
      <c r="P83" s="161">
        <f t="shared" si="209"/>
        <v>4919.8</v>
      </c>
      <c r="Q83" s="159">
        <f t="shared" si="210"/>
        <v>1647.6</v>
      </c>
      <c r="R83" s="160">
        <f>RCFs!$C$7</f>
        <v>17.66</v>
      </c>
      <c r="S83" s="161">
        <f t="shared" si="211"/>
        <v>2141.8000000000002</v>
      </c>
      <c r="T83" s="161">
        <f t="shared" si="211"/>
        <v>2471.4</v>
      </c>
      <c r="U83" s="159">
        <f t="shared" si="228"/>
        <v>1589.2</v>
      </c>
      <c r="V83" s="160">
        <f>RCFs!$C$9</f>
        <v>17.033999999999999</v>
      </c>
      <c r="W83" s="159">
        <f t="shared" si="229"/>
        <v>1589.2</v>
      </c>
      <c r="X83" s="160">
        <f t="shared" si="230"/>
        <v>17.033999999999999</v>
      </c>
      <c r="Y83" s="161">
        <f t="shared" si="215"/>
        <v>1748.2</v>
      </c>
      <c r="Z83" s="161">
        <f t="shared" si="215"/>
        <v>2177.3000000000002</v>
      </c>
      <c r="AA83" s="161">
        <f t="shared" si="215"/>
        <v>2574.6</v>
      </c>
      <c r="AB83" s="161">
        <f t="shared" si="215"/>
        <v>2336.1999999999998</v>
      </c>
      <c r="AC83" s="161">
        <f t="shared" si="215"/>
        <v>3448.7</v>
      </c>
      <c r="AD83" s="161">
        <f t="shared" si="215"/>
        <v>4767.8</v>
      </c>
      <c r="AE83" s="159">
        <f t="shared" si="216"/>
        <v>1537.6</v>
      </c>
      <c r="AF83" s="160">
        <f>RCFs!C$13</f>
        <v>16.48</v>
      </c>
      <c r="AG83" s="161">
        <f t="shared" si="217"/>
        <v>2537</v>
      </c>
      <c r="AH83" s="161">
        <f t="shared" si="217"/>
        <v>3229</v>
      </c>
      <c r="AI83" s="161">
        <f t="shared" si="217"/>
        <v>4612.8</v>
      </c>
      <c r="AJ83" s="159">
        <f t="shared" si="218"/>
        <v>1574.6</v>
      </c>
      <c r="AK83" s="160">
        <f>RCFs!C$24</f>
        <v>16.876666666666669</v>
      </c>
      <c r="AL83" s="159">
        <f t="shared" si="219"/>
        <v>2169.8000000000002</v>
      </c>
      <c r="AM83" s="160">
        <f>RCFs!$C$28</f>
        <v>23.256666666666668</v>
      </c>
      <c r="AN83" s="159">
        <f t="shared" si="220"/>
        <v>1727.3</v>
      </c>
      <c r="AO83" s="160">
        <f>RCFs!C$33</f>
        <v>18.513999999999999</v>
      </c>
      <c r="AP83" s="161">
        <f t="shared" si="221"/>
        <v>2590.9</v>
      </c>
      <c r="AQ83" s="159">
        <f t="shared" si="222"/>
        <v>1614.7</v>
      </c>
      <c r="AR83" s="160">
        <f>RCFs!$C$35</f>
        <v>17.306666666666668</v>
      </c>
      <c r="AS83" s="161">
        <f t="shared" si="223"/>
        <v>2099.1</v>
      </c>
      <c r="AT83" s="161">
        <f t="shared" si="223"/>
        <v>2341.3000000000002</v>
      </c>
      <c r="AU83" s="44">
        <v>1195.2</v>
      </c>
      <c r="AV83" s="42">
        <f t="shared" si="224"/>
        <v>12.810289389067526</v>
      </c>
      <c r="AW83" s="44">
        <f t="shared" si="225"/>
        <v>1685.9</v>
      </c>
      <c r="AX83" s="115">
        <f>RCFs!C$64</f>
        <v>18.07</v>
      </c>
      <c r="AY83" s="159">
        <f t="shared" si="231"/>
        <v>1709.5</v>
      </c>
      <c r="AZ83" s="160">
        <f>RCFs!C$39</f>
        <v>18.323333333333334</v>
      </c>
      <c r="BA83" s="159">
        <f t="shared" si="232"/>
        <v>1640.1</v>
      </c>
      <c r="BB83" s="160">
        <f>RCFs!$C$41</f>
        <v>17.579000000000001</v>
      </c>
    </row>
    <row r="84" spans="1:54" s="67" customFormat="1" x14ac:dyDescent="0.2">
      <c r="A84" s="65">
        <v>2613</v>
      </c>
      <c r="B84" s="66" t="s">
        <v>151</v>
      </c>
      <c r="C84" s="44">
        <v>156.80000000000001</v>
      </c>
      <c r="D84" s="44">
        <f t="shared" si="206"/>
        <v>10684.6</v>
      </c>
      <c r="E84" s="113">
        <f>RCFs!$C$43</f>
        <v>68.141894999999991</v>
      </c>
      <c r="F84" s="159">
        <f t="shared" si="207"/>
        <v>2756.1</v>
      </c>
      <c r="G84" s="160">
        <f>RCFs!$C$5</f>
        <v>17.577000000000002</v>
      </c>
      <c r="H84" s="159">
        <f t="shared" si="208"/>
        <v>2756.1</v>
      </c>
      <c r="I84" s="160">
        <f>RCFs!$C$5</f>
        <v>17.577000000000002</v>
      </c>
      <c r="J84" s="161">
        <f t="shared" si="209"/>
        <v>3031.7</v>
      </c>
      <c r="K84" s="161">
        <f t="shared" si="209"/>
        <v>3775.8</v>
      </c>
      <c r="L84" s="161">
        <f t="shared" si="209"/>
        <v>4051.4</v>
      </c>
      <c r="M84" s="161">
        <f t="shared" si="209"/>
        <v>4464.8</v>
      </c>
      <c r="N84" s="161">
        <f t="shared" si="209"/>
        <v>5512.1</v>
      </c>
      <c r="O84" s="161">
        <f t="shared" si="209"/>
        <v>5925.6</v>
      </c>
      <c r="P84" s="161">
        <f t="shared" si="209"/>
        <v>8268.2000000000007</v>
      </c>
      <c r="Q84" s="159">
        <f t="shared" si="210"/>
        <v>2769</v>
      </c>
      <c r="R84" s="160">
        <f>RCFs!$C$7</f>
        <v>17.66</v>
      </c>
      <c r="S84" s="161">
        <f t="shared" si="211"/>
        <v>3599.7</v>
      </c>
      <c r="T84" s="161">
        <f t="shared" si="211"/>
        <v>4153.5</v>
      </c>
      <c r="U84" s="159">
        <f t="shared" si="228"/>
        <v>2670.9</v>
      </c>
      <c r="V84" s="160">
        <f>RCFs!$C$9</f>
        <v>17.033999999999999</v>
      </c>
      <c r="W84" s="159">
        <f t="shared" si="229"/>
        <v>2670.9</v>
      </c>
      <c r="X84" s="160">
        <f t="shared" si="230"/>
        <v>17.033999999999999</v>
      </c>
      <c r="Y84" s="161">
        <f t="shared" si="215"/>
        <v>2938</v>
      </c>
      <c r="Z84" s="161">
        <f t="shared" si="215"/>
        <v>3659.2</v>
      </c>
      <c r="AA84" s="161">
        <f t="shared" si="215"/>
        <v>4326.8999999999996</v>
      </c>
      <c r="AB84" s="161">
        <f t="shared" si="215"/>
        <v>3926.3</v>
      </c>
      <c r="AC84" s="161">
        <f t="shared" si="215"/>
        <v>5795.9</v>
      </c>
      <c r="AD84" s="161">
        <f t="shared" si="215"/>
        <v>8012.8</v>
      </c>
      <c r="AE84" s="159">
        <f t="shared" si="216"/>
        <v>2584.1</v>
      </c>
      <c r="AF84" s="160">
        <f>RCFs!C$13</f>
        <v>16.48</v>
      </c>
      <c r="AG84" s="161">
        <f t="shared" si="217"/>
        <v>4263.8</v>
      </c>
      <c r="AH84" s="161">
        <f t="shared" si="217"/>
        <v>5426.6</v>
      </c>
      <c r="AI84" s="161">
        <f t="shared" si="217"/>
        <v>7752.3</v>
      </c>
      <c r="AJ84" s="159">
        <f t="shared" si="218"/>
        <v>2646.3</v>
      </c>
      <c r="AK84" s="160">
        <f>RCFs!C$24</f>
        <v>16.876666666666669</v>
      </c>
      <c r="AL84" s="159">
        <f t="shared" si="219"/>
        <v>3646.6</v>
      </c>
      <c r="AM84" s="160">
        <f>RCFs!$C$28</f>
        <v>23.256666666666668</v>
      </c>
      <c r="AN84" s="159">
        <f t="shared" si="220"/>
        <v>2902.9</v>
      </c>
      <c r="AO84" s="160">
        <f>RCFs!C$33</f>
        <v>18.513999999999999</v>
      </c>
      <c r="AP84" s="161">
        <f t="shared" si="221"/>
        <v>4354.3</v>
      </c>
      <c r="AQ84" s="159">
        <f t="shared" si="222"/>
        <v>2713.6</v>
      </c>
      <c r="AR84" s="160">
        <f>RCFs!$C$35</f>
        <v>17.306666666666668</v>
      </c>
      <c r="AS84" s="161">
        <f t="shared" si="223"/>
        <v>3527.6</v>
      </c>
      <c r="AT84" s="161">
        <f t="shared" si="223"/>
        <v>3934.7</v>
      </c>
      <c r="AU84" s="44">
        <v>2008.7</v>
      </c>
      <c r="AV84" s="42">
        <f t="shared" si="224"/>
        <v>12.810586734693876</v>
      </c>
      <c r="AW84" s="44">
        <f t="shared" si="225"/>
        <v>2833.3</v>
      </c>
      <c r="AX84" s="115">
        <f>RCFs!C$64</f>
        <v>18.07</v>
      </c>
      <c r="AY84" s="159">
        <f t="shared" si="231"/>
        <v>2873</v>
      </c>
      <c r="AZ84" s="160">
        <f>RCFs!C$39</f>
        <v>18.323333333333334</v>
      </c>
      <c r="BA84" s="159">
        <f t="shared" si="232"/>
        <v>2756.3</v>
      </c>
      <c r="BB84" s="160">
        <f>RCFs!$C$41</f>
        <v>17.579000000000001</v>
      </c>
    </row>
    <row r="85" spans="1:54" s="67" customFormat="1" x14ac:dyDescent="0.2">
      <c r="A85" s="153"/>
      <c r="B85" s="154"/>
      <c r="C85" s="155"/>
      <c r="D85" s="155"/>
      <c r="E85" s="156"/>
      <c r="F85" s="155"/>
      <c r="G85" s="157"/>
      <c r="H85" s="155"/>
      <c r="I85" s="157"/>
      <c r="J85" s="158"/>
      <c r="K85" s="158"/>
      <c r="L85" s="158"/>
      <c r="M85" s="158"/>
      <c r="N85" s="158"/>
      <c r="O85" s="158"/>
      <c r="P85" s="158"/>
      <c r="Q85" s="155"/>
      <c r="R85" s="157"/>
      <c r="S85" s="158"/>
      <c r="T85" s="158"/>
      <c r="U85" s="155"/>
      <c r="V85" s="157"/>
      <c r="W85" s="155"/>
      <c r="X85" s="157"/>
      <c r="Y85" s="158"/>
      <c r="Z85" s="158"/>
      <c r="AA85" s="158"/>
      <c r="AB85" s="158"/>
      <c r="AC85" s="158"/>
      <c r="AD85" s="158"/>
      <c r="AE85" s="155"/>
      <c r="AF85" s="157"/>
      <c r="AG85" s="158"/>
      <c r="AH85" s="158"/>
      <c r="AI85" s="158"/>
      <c r="AJ85" s="155"/>
      <c r="AK85" s="157"/>
      <c r="AL85" s="155"/>
      <c r="AM85" s="157"/>
      <c r="AN85" s="155"/>
      <c r="AO85" s="157"/>
      <c r="AP85" s="158"/>
      <c r="AQ85" s="155"/>
      <c r="AR85" s="157"/>
      <c r="AS85" s="158"/>
      <c r="AT85" s="158"/>
      <c r="AU85" s="155"/>
      <c r="AV85" s="157"/>
      <c r="AW85" s="268"/>
      <c r="AX85" s="157"/>
      <c r="AY85" s="155"/>
      <c r="AZ85" s="157"/>
      <c r="BA85" s="155"/>
      <c r="BB85" s="157"/>
    </row>
    <row r="86" spans="1:54" x14ac:dyDescent="0.2">
      <c r="A86" s="257" t="s">
        <v>235</v>
      </c>
      <c r="B86" s="258"/>
      <c r="C86" s="258"/>
      <c r="D86" s="258"/>
      <c r="E86" s="259"/>
      <c r="F86" s="259"/>
      <c r="G86" s="259"/>
      <c r="H86" s="260"/>
      <c r="I86" s="259"/>
      <c r="J86" s="261"/>
      <c r="K86" s="261"/>
      <c r="L86" s="261"/>
      <c r="M86" s="261"/>
      <c r="N86" s="261"/>
      <c r="O86" s="261"/>
      <c r="P86" s="261"/>
      <c r="Q86" s="260"/>
      <c r="R86" s="259"/>
      <c r="S86" s="261"/>
      <c r="T86" s="261"/>
      <c r="U86" s="262"/>
      <c r="V86" s="263"/>
      <c r="W86" s="262"/>
      <c r="X86" s="263"/>
      <c r="Y86" s="258"/>
      <c r="Z86" s="258"/>
      <c r="AA86" s="258"/>
      <c r="AB86" s="258"/>
      <c r="AC86" s="258"/>
      <c r="AD86" s="258"/>
      <c r="AE86" s="260"/>
      <c r="AF86" s="260"/>
      <c r="AG86" s="260"/>
      <c r="AH86" s="260"/>
      <c r="AI86" s="260"/>
      <c r="AJ86" s="258"/>
      <c r="AK86" s="263"/>
      <c r="AL86" s="258"/>
      <c r="AM86" s="263"/>
      <c r="AN86" s="264"/>
      <c r="AO86" s="261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4"/>
      <c r="BB86" s="265"/>
    </row>
    <row r="87" spans="1:54" x14ac:dyDescent="0.2">
      <c r="A87" s="217" t="s">
        <v>97</v>
      </c>
      <c r="B87" s="80"/>
      <c r="C87" s="81"/>
      <c r="D87" s="82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2"/>
      <c r="V87" s="83"/>
      <c r="W87" s="82"/>
      <c r="X87" s="83"/>
      <c r="Y87" s="80"/>
      <c r="Z87" s="80"/>
      <c r="AA87" s="80"/>
      <c r="AB87" s="80"/>
      <c r="AC87" s="80"/>
      <c r="AD87" s="80"/>
      <c r="AE87" s="82"/>
      <c r="AF87" s="83"/>
      <c r="AG87" s="83"/>
      <c r="AH87" s="83"/>
      <c r="AI87" s="83"/>
      <c r="AJ87" s="82"/>
      <c r="AK87" s="83"/>
      <c r="AL87" s="82"/>
      <c r="AM87" s="83"/>
      <c r="AN87" s="82"/>
      <c r="AO87" s="83"/>
      <c r="AP87" s="83"/>
      <c r="AQ87" s="82"/>
      <c r="AR87" s="83"/>
      <c r="AS87" s="83"/>
      <c r="AT87" s="83"/>
      <c r="AU87" s="82"/>
      <c r="AV87" s="83"/>
      <c r="AW87" s="82"/>
      <c r="AX87" s="83"/>
      <c r="AY87" s="82"/>
      <c r="AZ87" s="83"/>
      <c r="BA87" s="83"/>
      <c r="BB87" s="84"/>
    </row>
    <row r="88" spans="1:54" x14ac:dyDescent="0.2">
      <c r="A88" s="242" t="s">
        <v>108</v>
      </c>
      <c r="B88" s="219"/>
      <c r="C88" s="219"/>
      <c r="D88" s="219"/>
      <c r="E88" s="219"/>
      <c r="F88" s="220"/>
      <c r="G88" s="220"/>
      <c r="H88" s="220"/>
      <c r="I88" s="220"/>
      <c r="J88" s="221"/>
      <c r="K88" s="221"/>
      <c r="L88" s="221"/>
      <c r="M88" s="221"/>
      <c r="N88" s="221"/>
      <c r="O88" s="221"/>
      <c r="P88" s="221"/>
      <c r="Q88" s="220"/>
      <c r="R88" s="220"/>
      <c r="S88" s="221"/>
      <c r="T88" s="221"/>
      <c r="U88" s="220"/>
      <c r="V88" s="220"/>
      <c r="W88" s="220"/>
      <c r="X88" s="220"/>
      <c r="Y88" s="85"/>
      <c r="Z88" s="85"/>
      <c r="AA88" s="85"/>
      <c r="AB88" s="85"/>
      <c r="AC88" s="85"/>
      <c r="AD88" s="85"/>
      <c r="AE88" s="220"/>
      <c r="AF88" s="220"/>
      <c r="AG88" s="87"/>
      <c r="AH88" s="87"/>
      <c r="AI88" s="87"/>
      <c r="AJ88" s="220"/>
      <c r="AK88" s="220"/>
      <c r="AL88" s="220"/>
      <c r="AM88" s="220"/>
      <c r="AN88" s="120"/>
      <c r="AO88" s="220"/>
      <c r="AP88" s="87"/>
      <c r="AQ88" s="120"/>
      <c r="AR88" s="220"/>
      <c r="AS88" s="87"/>
      <c r="AT88" s="87"/>
      <c r="AU88" s="120"/>
      <c r="AV88" s="220"/>
      <c r="AW88" s="269"/>
      <c r="AX88" s="220"/>
      <c r="AY88" s="120"/>
      <c r="AZ88" s="162"/>
      <c r="BA88" s="220"/>
      <c r="BB88" s="121"/>
    </row>
    <row r="89" spans="1:54" x14ac:dyDescent="0.2">
      <c r="A89" s="122" t="s">
        <v>243</v>
      </c>
      <c r="B89" s="219"/>
      <c r="C89" s="219"/>
      <c r="D89" s="219"/>
      <c r="E89" s="219"/>
      <c r="F89" s="220"/>
      <c r="G89" s="220"/>
      <c r="H89" s="220"/>
      <c r="I89" s="220"/>
      <c r="J89" s="221"/>
      <c r="K89" s="221"/>
      <c r="L89" s="221"/>
      <c r="M89" s="221"/>
      <c r="N89" s="221"/>
      <c r="O89" s="221"/>
      <c r="P89" s="221"/>
      <c r="Q89" s="220"/>
      <c r="R89" s="220"/>
      <c r="S89" s="221"/>
      <c r="T89" s="221"/>
      <c r="U89" s="220"/>
      <c r="V89" s="220"/>
      <c r="W89" s="220"/>
      <c r="X89" s="220"/>
      <c r="Y89" s="85"/>
      <c r="Z89" s="85"/>
      <c r="AA89" s="85"/>
      <c r="AB89" s="85"/>
      <c r="AC89" s="85"/>
      <c r="AD89" s="85"/>
      <c r="AE89" s="220"/>
      <c r="AF89" s="220"/>
      <c r="AG89" s="87"/>
      <c r="AH89" s="87"/>
      <c r="AI89" s="87"/>
      <c r="AJ89" s="220"/>
      <c r="AK89" s="220"/>
      <c r="AL89" s="220"/>
      <c r="AM89" s="220"/>
      <c r="AN89" s="120"/>
      <c r="AO89" s="220"/>
      <c r="AP89" s="87"/>
      <c r="AQ89" s="120"/>
      <c r="AR89" s="220"/>
      <c r="AS89" s="87"/>
      <c r="AT89" s="87"/>
      <c r="AU89" s="120"/>
      <c r="AV89" s="220"/>
      <c r="AW89" s="269"/>
      <c r="AX89" s="220"/>
      <c r="AY89" s="120"/>
      <c r="AZ89" s="162"/>
      <c r="BA89" s="220"/>
      <c r="BB89" s="121"/>
    </row>
    <row r="90" spans="1:54" x14ac:dyDescent="0.2">
      <c r="A90" s="243" t="s">
        <v>221</v>
      </c>
      <c r="B90" s="220"/>
      <c r="C90" s="85"/>
      <c r="D90" s="86"/>
      <c r="E90" s="87"/>
      <c r="F90" s="87"/>
      <c r="G90" s="87"/>
      <c r="H90" s="87"/>
      <c r="I90" s="87"/>
      <c r="J90" s="221"/>
      <c r="K90" s="221"/>
      <c r="L90" s="221"/>
      <c r="M90" s="221"/>
      <c r="N90" s="221"/>
      <c r="O90" s="221"/>
      <c r="P90" s="221"/>
      <c r="Q90" s="87"/>
      <c r="R90" s="87"/>
      <c r="S90" s="221"/>
      <c r="T90" s="221"/>
      <c r="U90" s="86"/>
      <c r="V90" s="87"/>
      <c r="W90" s="86"/>
      <c r="X90" s="87"/>
      <c r="Y90" s="85"/>
      <c r="Z90" s="85"/>
      <c r="AA90" s="85"/>
      <c r="AB90" s="85"/>
      <c r="AC90" s="85"/>
      <c r="AD90" s="85"/>
      <c r="AE90" s="86"/>
      <c r="AF90" s="87"/>
      <c r="AG90" s="87"/>
      <c r="AH90" s="87"/>
      <c r="AI90" s="87"/>
      <c r="AJ90" s="86"/>
      <c r="AK90" s="87"/>
      <c r="AL90" s="86"/>
      <c r="AM90" s="87"/>
      <c r="AN90" s="86"/>
      <c r="AO90" s="87"/>
      <c r="AP90" s="87"/>
      <c r="AQ90" s="86"/>
      <c r="AR90" s="87"/>
      <c r="AS90" s="87"/>
      <c r="AT90" s="87"/>
      <c r="AU90" s="86"/>
      <c r="AV90" s="87"/>
      <c r="AW90" s="86"/>
      <c r="AX90" s="87"/>
      <c r="AY90" s="86"/>
      <c r="AZ90" s="87"/>
      <c r="BA90" s="87"/>
      <c r="BB90" s="88"/>
    </row>
    <row r="91" spans="1:54" x14ac:dyDescent="0.2">
      <c r="A91" s="218" t="s">
        <v>222</v>
      </c>
      <c r="B91" s="220"/>
      <c r="C91" s="85"/>
      <c r="D91" s="86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6"/>
      <c r="V91" s="87"/>
      <c r="W91" s="86"/>
      <c r="X91" s="87"/>
      <c r="Y91" s="85"/>
      <c r="Z91" s="85"/>
      <c r="AA91" s="85"/>
      <c r="AB91" s="85"/>
      <c r="AC91" s="85"/>
      <c r="AD91" s="85"/>
      <c r="AE91" s="86"/>
      <c r="AF91" s="87"/>
      <c r="AG91" s="87"/>
      <c r="AH91" s="87"/>
      <c r="AI91" s="87"/>
      <c r="AJ91" s="86"/>
      <c r="AK91" s="87"/>
      <c r="AL91" s="86"/>
      <c r="AM91" s="87"/>
      <c r="AN91" s="86"/>
      <c r="AO91" s="87"/>
      <c r="AP91" s="87"/>
      <c r="AQ91" s="86"/>
      <c r="AR91" s="87"/>
      <c r="AS91" s="87"/>
      <c r="AT91" s="87"/>
      <c r="AU91" s="86"/>
      <c r="AV91" s="87"/>
      <c r="AW91" s="86"/>
      <c r="AX91" s="87"/>
      <c r="AY91" s="86"/>
      <c r="AZ91" s="87"/>
      <c r="BA91" s="87"/>
      <c r="BB91" s="88"/>
    </row>
    <row r="92" spans="1:54" x14ac:dyDescent="0.2">
      <c r="A92" s="242" t="s">
        <v>244</v>
      </c>
      <c r="B92" s="220"/>
      <c r="C92" s="85"/>
      <c r="D92" s="86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6"/>
      <c r="V92" s="87"/>
      <c r="W92" s="86"/>
      <c r="X92" s="87"/>
      <c r="Y92" s="85"/>
      <c r="Z92" s="85"/>
      <c r="AA92" s="85"/>
      <c r="AB92" s="85"/>
      <c r="AC92" s="85"/>
      <c r="AD92" s="85"/>
      <c r="AE92" s="86"/>
      <c r="AF92" s="87"/>
      <c r="AG92" s="87"/>
      <c r="AH92" s="87"/>
      <c r="AI92" s="87"/>
      <c r="AJ92" s="86"/>
      <c r="AK92" s="87"/>
      <c r="AL92" s="86"/>
      <c r="AM92" s="87"/>
      <c r="AN92" s="86"/>
      <c r="AO92" s="87"/>
      <c r="AP92" s="87"/>
      <c r="AQ92" s="86"/>
      <c r="AR92" s="87"/>
      <c r="AS92" s="87"/>
      <c r="AT92" s="87"/>
      <c r="AU92" s="86"/>
      <c r="AV92" s="87"/>
      <c r="AW92" s="86"/>
      <c r="AX92" s="87"/>
      <c r="AY92" s="86"/>
      <c r="AZ92" s="87"/>
      <c r="BA92" s="87"/>
      <c r="BB92" s="88"/>
    </row>
    <row r="93" spans="1:54" x14ac:dyDescent="0.2">
      <c r="A93" s="244" t="s">
        <v>236</v>
      </c>
      <c r="B93" s="220"/>
      <c r="C93" s="85"/>
      <c r="D93" s="86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6"/>
      <c r="V93" s="87"/>
      <c r="W93" s="86"/>
      <c r="X93" s="87"/>
      <c r="Y93" s="85"/>
      <c r="Z93" s="85"/>
      <c r="AA93" s="85"/>
      <c r="AB93" s="85"/>
      <c r="AC93" s="85"/>
      <c r="AD93" s="85"/>
      <c r="AE93" s="86"/>
      <c r="AF93" s="87"/>
      <c r="AG93" s="87"/>
      <c r="AH93" s="87"/>
      <c r="AI93" s="87"/>
      <c r="AJ93" s="86"/>
      <c r="AK93" s="87"/>
      <c r="AL93" s="86"/>
      <c r="AM93" s="87"/>
      <c r="AN93" s="86"/>
      <c r="AO93" s="87"/>
      <c r="AP93" s="87"/>
      <c r="AQ93" s="86"/>
      <c r="AR93" s="87"/>
      <c r="AS93" s="87"/>
      <c r="AT93" s="87"/>
      <c r="AU93" s="86"/>
      <c r="AV93" s="87"/>
      <c r="AW93" s="86"/>
      <c r="AX93" s="87"/>
      <c r="AY93" s="86"/>
      <c r="AZ93" s="87"/>
      <c r="BA93" s="87"/>
      <c r="BB93" s="88"/>
    </row>
    <row r="94" spans="1:54" x14ac:dyDescent="0.2">
      <c r="A94" s="245" t="s">
        <v>237</v>
      </c>
      <c r="B94" s="220"/>
      <c r="C94" s="85"/>
      <c r="D94" s="86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6"/>
      <c r="V94" s="87"/>
      <c r="W94" s="86"/>
      <c r="X94" s="87"/>
      <c r="Y94" s="85"/>
      <c r="Z94" s="85"/>
      <c r="AA94" s="85"/>
      <c r="AB94" s="85"/>
      <c r="AC94" s="85"/>
      <c r="AD94" s="85"/>
      <c r="AE94" s="86"/>
      <c r="AF94" s="87"/>
      <c r="AG94" s="87"/>
      <c r="AH94" s="87"/>
      <c r="AI94" s="87"/>
      <c r="AJ94" s="86"/>
      <c r="AK94" s="87"/>
      <c r="AL94" s="86"/>
      <c r="AM94" s="87"/>
      <c r="AN94" s="86"/>
      <c r="AO94" s="87"/>
      <c r="AP94" s="87"/>
      <c r="AQ94" s="86"/>
      <c r="AR94" s="87"/>
      <c r="AS94" s="87"/>
      <c r="AT94" s="87"/>
      <c r="AU94" s="86"/>
      <c r="AV94" s="87"/>
      <c r="AW94" s="86"/>
      <c r="AX94" s="87"/>
      <c r="AY94" s="86"/>
      <c r="AZ94" s="87"/>
      <c r="BA94" s="87"/>
      <c r="BB94" s="88"/>
    </row>
    <row r="95" spans="1:54" x14ac:dyDescent="0.2">
      <c r="A95" s="244" t="s">
        <v>238</v>
      </c>
      <c r="B95" s="220"/>
      <c r="C95" s="85"/>
      <c r="D95" s="86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6"/>
      <c r="V95" s="87"/>
      <c r="W95" s="86"/>
      <c r="X95" s="87"/>
      <c r="Y95" s="85"/>
      <c r="Z95" s="85"/>
      <c r="AA95" s="85"/>
      <c r="AB95" s="85"/>
      <c r="AC95" s="85"/>
      <c r="AD95" s="85"/>
      <c r="AE95" s="86"/>
      <c r="AF95" s="87"/>
      <c r="AG95" s="87"/>
      <c r="AH95" s="87"/>
      <c r="AI95" s="87"/>
      <c r="AJ95" s="86"/>
      <c r="AK95" s="87"/>
      <c r="AL95" s="86"/>
      <c r="AM95" s="87"/>
      <c r="AN95" s="86"/>
      <c r="AO95" s="87"/>
      <c r="AP95" s="87"/>
      <c r="AQ95" s="86"/>
      <c r="AR95" s="87"/>
      <c r="AS95" s="87"/>
      <c r="AT95" s="87"/>
      <c r="AU95" s="86"/>
      <c r="AV95" s="87"/>
      <c r="AW95" s="86"/>
      <c r="AX95" s="87"/>
      <c r="AY95" s="86"/>
      <c r="AZ95" s="87"/>
      <c r="BA95" s="87"/>
      <c r="BB95" s="88"/>
    </row>
    <row r="96" spans="1:54" x14ac:dyDescent="0.2">
      <c r="A96" s="246" t="s">
        <v>245</v>
      </c>
      <c r="B96" s="220"/>
      <c r="C96" s="85"/>
      <c r="D96" s="86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6"/>
      <c r="V96" s="87"/>
      <c r="W96" s="86"/>
      <c r="X96" s="87"/>
      <c r="Y96" s="85"/>
      <c r="Z96" s="85"/>
      <c r="AA96" s="85"/>
      <c r="AB96" s="85"/>
      <c r="AC96" s="85"/>
      <c r="AD96" s="85"/>
      <c r="AE96" s="86"/>
      <c r="AF96" s="87"/>
      <c r="AG96" s="87"/>
      <c r="AH96" s="87"/>
      <c r="AI96" s="87"/>
      <c r="AJ96" s="86"/>
      <c r="AK96" s="87"/>
      <c r="AL96" s="86"/>
      <c r="AM96" s="87"/>
      <c r="AN96" s="86"/>
      <c r="AO96" s="87"/>
      <c r="AP96" s="87"/>
      <c r="AQ96" s="86"/>
      <c r="AR96" s="87"/>
      <c r="AS96" s="87"/>
      <c r="AT96" s="87"/>
      <c r="AU96" s="86"/>
      <c r="AV96" s="87"/>
      <c r="AW96" s="86"/>
      <c r="AX96" s="87"/>
      <c r="AY96" s="86"/>
      <c r="AZ96" s="87"/>
      <c r="BA96" s="87"/>
      <c r="BB96" s="88"/>
    </row>
    <row r="97" spans="1:54" x14ac:dyDescent="0.2">
      <c r="A97" s="242" t="s">
        <v>223</v>
      </c>
      <c r="B97" s="220"/>
      <c r="C97" s="85"/>
      <c r="D97" s="86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6"/>
      <c r="V97" s="87"/>
      <c r="W97" s="86"/>
      <c r="X97" s="87"/>
      <c r="Y97" s="85"/>
      <c r="Z97" s="85"/>
      <c r="AA97" s="85"/>
      <c r="AB97" s="85"/>
      <c r="AC97" s="85"/>
      <c r="AD97" s="85"/>
      <c r="AE97" s="86"/>
      <c r="AF97" s="87"/>
      <c r="AG97" s="87"/>
      <c r="AH97" s="87"/>
      <c r="AI97" s="87"/>
      <c r="AJ97" s="86"/>
      <c r="AK97" s="87"/>
      <c r="AL97" s="86"/>
      <c r="AM97" s="87"/>
      <c r="AN97" s="86"/>
      <c r="AO97" s="87"/>
      <c r="AP97" s="87"/>
      <c r="AQ97" s="86"/>
      <c r="AR97" s="87"/>
      <c r="AS97" s="87"/>
      <c r="AT97" s="87"/>
      <c r="AU97" s="86"/>
      <c r="AV97" s="87"/>
      <c r="AW97" s="86"/>
      <c r="AX97" s="87"/>
      <c r="AY97" s="86"/>
      <c r="AZ97" s="87"/>
      <c r="BA97" s="87"/>
      <c r="BB97" s="88"/>
    </row>
    <row r="98" spans="1:54" x14ac:dyDescent="0.2">
      <c r="A98" s="218" t="s">
        <v>224</v>
      </c>
      <c r="B98" s="220"/>
      <c r="C98" s="85"/>
      <c r="D98" s="86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6"/>
      <c r="V98" s="87"/>
      <c r="W98" s="86"/>
      <c r="X98" s="87"/>
      <c r="Y98" s="85"/>
      <c r="Z98" s="85"/>
      <c r="AA98" s="85"/>
      <c r="AB98" s="85"/>
      <c r="AC98" s="85"/>
      <c r="AD98" s="85"/>
      <c r="AE98" s="86"/>
      <c r="AF98" s="87"/>
      <c r="AG98" s="87"/>
      <c r="AH98" s="87"/>
      <c r="AI98" s="87"/>
      <c r="AJ98" s="86"/>
      <c r="AK98" s="87"/>
      <c r="AL98" s="86"/>
      <c r="AM98" s="87"/>
      <c r="AN98" s="86"/>
      <c r="AO98" s="87"/>
      <c r="AP98" s="87"/>
      <c r="AQ98" s="86"/>
      <c r="AR98" s="87"/>
      <c r="AS98" s="87"/>
      <c r="AT98" s="87"/>
      <c r="AU98" s="86"/>
      <c r="AV98" s="87"/>
      <c r="AW98" s="86"/>
      <c r="AX98" s="87"/>
      <c r="AY98" s="86"/>
      <c r="AZ98" s="87"/>
      <c r="BA98" s="87"/>
      <c r="BB98" s="88"/>
    </row>
    <row r="99" spans="1:54" x14ac:dyDescent="0.2">
      <c r="A99" s="218" t="s">
        <v>225</v>
      </c>
      <c r="B99" s="220"/>
      <c r="C99" s="85"/>
      <c r="D99" s="86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6"/>
      <c r="V99" s="87"/>
      <c r="W99" s="86"/>
      <c r="X99" s="87"/>
      <c r="Y99" s="85"/>
      <c r="Z99" s="85"/>
      <c r="AA99" s="85"/>
      <c r="AB99" s="85"/>
      <c r="AC99" s="85"/>
      <c r="AD99" s="85"/>
      <c r="AE99" s="86"/>
      <c r="AF99" s="87"/>
      <c r="AG99" s="87"/>
      <c r="AH99" s="87"/>
      <c r="AI99" s="87"/>
      <c r="AJ99" s="86"/>
      <c r="AK99" s="87"/>
      <c r="AL99" s="86"/>
      <c r="AM99" s="87"/>
      <c r="AN99" s="86"/>
      <c r="AO99" s="87"/>
      <c r="AP99" s="87"/>
      <c r="AQ99" s="86"/>
      <c r="AR99" s="87"/>
      <c r="AS99" s="87"/>
      <c r="AT99" s="87"/>
      <c r="AU99" s="86"/>
      <c r="AV99" s="87"/>
      <c r="AW99" s="86"/>
      <c r="AX99" s="87"/>
      <c r="AY99" s="86"/>
      <c r="AZ99" s="87"/>
      <c r="BA99" s="87"/>
      <c r="BB99" s="88"/>
    </row>
    <row r="100" spans="1:54" x14ac:dyDescent="0.2">
      <c r="A100" s="222" t="s">
        <v>226</v>
      </c>
      <c r="B100" s="220"/>
      <c r="C100" s="85"/>
      <c r="D100" s="8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6"/>
      <c r="V100" s="87"/>
      <c r="W100" s="86"/>
      <c r="X100" s="87"/>
      <c r="Y100" s="85"/>
      <c r="Z100" s="85"/>
      <c r="AA100" s="85"/>
      <c r="AB100" s="85"/>
      <c r="AC100" s="85"/>
      <c r="AD100" s="85"/>
      <c r="AE100" s="86"/>
      <c r="AF100" s="87"/>
      <c r="AG100" s="87"/>
      <c r="AH100" s="87"/>
      <c r="AI100" s="87"/>
      <c r="AJ100" s="86"/>
      <c r="AK100" s="87"/>
      <c r="AL100" s="86"/>
      <c r="AM100" s="87"/>
      <c r="AN100" s="86"/>
      <c r="AO100" s="87"/>
      <c r="AP100" s="87"/>
      <c r="AQ100" s="86"/>
      <c r="AR100" s="87"/>
      <c r="AS100" s="87"/>
      <c r="AT100" s="87"/>
      <c r="AU100" s="86"/>
      <c r="AV100" s="87"/>
      <c r="AW100" s="86"/>
      <c r="AX100" s="87"/>
      <c r="AY100" s="86"/>
      <c r="AZ100" s="87"/>
      <c r="BA100" s="87"/>
      <c r="BB100" s="88"/>
    </row>
    <row r="101" spans="1:54" x14ac:dyDescent="0.2">
      <c r="A101" s="218" t="s">
        <v>227</v>
      </c>
      <c r="B101" s="220"/>
      <c r="C101" s="85"/>
      <c r="D101" s="86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6"/>
      <c r="V101" s="87"/>
      <c r="W101" s="86"/>
      <c r="X101" s="87"/>
      <c r="Y101" s="85"/>
      <c r="Z101" s="85"/>
      <c r="AA101" s="85"/>
      <c r="AB101" s="85"/>
      <c r="AC101" s="85"/>
      <c r="AD101" s="85"/>
      <c r="AE101" s="86"/>
      <c r="AF101" s="87"/>
      <c r="AG101" s="87"/>
      <c r="AH101" s="87"/>
      <c r="AI101" s="87"/>
      <c r="AJ101" s="86"/>
      <c r="AK101" s="87"/>
      <c r="AL101" s="86"/>
      <c r="AM101" s="87"/>
      <c r="AN101" s="86"/>
      <c r="AO101" s="87"/>
      <c r="AP101" s="87"/>
      <c r="AQ101" s="86"/>
      <c r="AR101" s="87"/>
      <c r="AS101" s="87"/>
      <c r="AT101" s="87"/>
      <c r="AU101" s="86"/>
      <c r="AV101" s="87"/>
      <c r="AW101" s="86"/>
      <c r="AX101" s="87"/>
      <c r="AY101" s="86"/>
      <c r="AZ101" s="87"/>
      <c r="BA101" s="87"/>
      <c r="BB101" s="88"/>
    </row>
    <row r="102" spans="1:54" ht="15" x14ac:dyDescent="0.25">
      <c r="A102" s="247" t="s">
        <v>239</v>
      </c>
      <c r="B102" s="220"/>
      <c r="C102" s="85"/>
      <c r="D102" s="8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6"/>
      <c r="V102" s="87"/>
      <c r="W102" s="86"/>
      <c r="X102" s="87"/>
      <c r="Y102" s="85"/>
      <c r="Z102" s="85"/>
      <c r="AA102" s="85"/>
      <c r="AB102" s="85"/>
      <c r="AC102" s="85"/>
      <c r="AD102" s="85"/>
      <c r="AE102" s="86"/>
      <c r="AF102" s="87"/>
      <c r="AG102" s="87"/>
      <c r="AH102" s="87"/>
      <c r="AI102" s="87"/>
      <c r="AJ102" s="86"/>
      <c r="AK102" s="87"/>
      <c r="AL102" s="86"/>
      <c r="AM102" s="87"/>
      <c r="AN102" s="86"/>
      <c r="AO102" s="87"/>
      <c r="AP102" s="87"/>
      <c r="AQ102" s="86"/>
      <c r="AR102" s="87"/>
      <c r="AS102" s="87"/>
      <c r="AT102" s="87"/>
      <c r="AU102" s="86"/>
      <c r="AV102" s="87"/>
      <c r="AW102" s="86"/>
      <c r="AX102" s="87"/>
      <c r="AY102" s="86"/>
      <c r="AZ102" s="87"/>
      <c r="BA102" s="87"/>
      <c r="BB102" s="88"/>
    </row>
    <row r="103" spans="1:54" x14ac:dyDescent="0.2">
      <c r="A103" s="223" t="s">
        <v>109</v>
      </c>
      <c r="B103" s="224"/>
      <c r="C103" s="224"/>
      <c r="D103" s="8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89"/>
      <c r="V103" s="90"/>
      <c r="W103" s="89"/>
      <c r="X103" s="90"/>
      <c r="Y103" s="224"/>
      <c r="Z103" s="224"/>
      <c r="AA103" s="224"/>
      <c r="AB103" s="224"/>
      <c r="AC103" s="224"/>
      <c r="AD103" s="224"/>
      <c r="AE103" s="89"/>
      <c r="AF103" s="90"/>
      <c r="AG103" s="90"/>
      <c r="AH103" s="90"/>
      <c r="AI103" s="90"/>
      <c r="AJ103" s="89"/>
      <c r="AK103" s="90"/>
      <c r="AL103" s="89"/>
      <c r="AM103" s="90"/>
      <c r="AN103" s="89"/>
      <c r="AO103" s="90"/>
      <c r="AP103" s="90"/>
      <c r="AQ103" s="89"/>
      <c r="AR103" s="90"/>
      <c r="AS103" s="90"/>
      <c r="AT103" s="90"/>
      <c r="AU103" s="89"/>
      <c r="AV103" s="90"/>
      <c r="AW103" s="89"/>
      <c r="AX103" s="90"/>
      <c r="AY103" s="89"/>
      <c r="AZ103" s="90"/>
      <c r="BA103" s="90"/>
      <c r="BB103" s="91"/>
    </row>
    <row r="104" spans="1:54" x14ac:dyDescent="0.2">
      <c r="A104" s="218" t="s">
        <v>197</v>
      </c>
      <c r="C104" s="85"/>
      <c r="D104" s="8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6"/>
      <c r="V104" s="87"/>
      <c r="W104" s="86"/>
      <c r="X104" s="87"/>
      <c r="Y104" s="85"/>
      <c r="Z104" s="85"/>
      <c r="AA104" s="85"/>
      <c r="AB104" s="85"/>
      <c r="AC104" s="85"/>
      <c r="AD104" s="85"/>
      <c r="AE104" s="86"/>
      <c r="AF104" s="87"/>
      <c r="AG104" s="87"/>
      <c r="AH104" s="87"/>
      <c r="AI104" s="87"/>
      <c r="AJ104" s="86"/>
      <c r="AK104" s="87"/>
      <c r="AL104" s="86"/>
      <c r="AM104" s="87"/>
      <c r="AN104" s="86"/>
      <c r="AO104" s="87"/>
      <c r="AP104" s="87"/>
      <c r="AQ104" s="86"/>
      <c r="AR104" s="87"/>
      <c r="AS104" s="87"/>
      <c r="AT104" s="87"/>
      <c r="AU104" s="86"/>
      <c r="AV104" s="87"/>
      <c r="AW104" s="86"/>
      <c r="AX104" s="87"/>
      <c r="AY104" s="86"/>
      <c r="AZ104" s="87"/>
      <c r="BA104" s="87"/>
      <c r="BB104" s="88"/>
    </row>
    <row r="105" spans="1:54" x14ac:dyDescent="0.2">
      <c r="A105" s="225" t="s">
        <v>184</v>
      </c>
      <c r="B105" s="224"/>
      <c r="C105" s="224"/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89"/>
      <c r="V105" s="90"/>
      <c r="W105" s="89"/>
      <c r="X105" s="90"/>
      <c r="Y105" s="224"/>
      <c r="Z105" s="224"/>
      <c r="AA105" s="224"/>
      <c r="AB105" s="224"/>
      <c r="AC105" s="224"/>
      <c r="AD105" s="224"/>
      <c r="AE105" s="89"/>
      <c r="AF105" s="90"/>
      <c r="AG105" s="90"/>
      <c r="AH105" s="90"/>
      <c r="AI105" s="90"/>
      <c r="AJ105" s="89"/>
      <c r="AK105" s="90"/>
      <c r="AL105" s="89"/>
      <c r="AM105" s="90"/>
      <c r="AN105" s="89"/>
      <c r="AO105" s="90"/>
      <c r="AP105" s="90"/>
      <c r="AQ105" s="89"/>
      <c r="AR105" s="90"/>
      <c r="AS105" s="90"/>
      <c r="AT105" s="90"/>
      <c r="AU105" s="89"/>
      <c r="AV105" s="90"/>
      <c r="AW105" s="89"/>
      <c r="AX105" s="90"/>
      <c r="AY105" s="89"/>
      <c r="AZ105" s="90"/>
      <c r="BA105" s="90"/>
      <c r="BB105" s="91"/>
    </row>
    <row r="106" spans="1:54" s="126" customFormat="1" x14ac:dyDescent="0.2">
      <c r="A106" s="226" t="s">
        <v>208</v>
      </c>
      <c r="B106" s="227"/>
      <c r="C106" s="227"/>
      <c r="D106" s="123"/>
      <c r="E106" s="124"/>
      <c r="F106" s="123"/>
      <c r="G106" s="124"/>
      <c r="H106" s="123"/>
      <c r="I106" s="124"/>
      <c r="J106" s="124"/>
      <c r="K106" s="124"/>
      <c r="L106" s="124"/>
      <c r="M106" s="124"/>
      <c r="N106" s="124"/>
      <c r="O106" s="124"/>
      <c r="P106" s="124"/>
      <c r="Q106" s="123"/>
      <c r="R106" s="124"/>
      <c r="S106" s="124"/>
      <c r="T106" s="124"/>
      <c r="U106" s="123"/>
      <c r="V106" s="124"/>
      <c r="W106" s="123"/>
      <c r="X106" s="124"/>
      <c r="Y106" s="227"/>
      <c r="Z106" s="227"/>
      <c r="AA106" s="227"/>
      <c r="AB106" s="227"/>
      <c r="AC106" s="227"/>
      <c r="AD106" s="227"/>
      <c r="AE106" s="123"/>
      <c r="AF106" s="124"/>
      <c r="AG106" s="124"/>
      <c r="AH106" s="124"/>
      <c r="AI106" s="124"/>
      <c r="AJ106" s="123"/>
      <c r="AK106" s="124"/>
      <c r="AL106" s="123"/>
      <c r="AM106" s="124"/>
      <c r="AN106" s="123"/>
      <c r="AO106" s="124"/>
      <c r="AP106" s="124"/>
      <c r="AQ106" s="123"/>
      <c r="AR106" s="124"/>
      <c r="AS106" s="124"/>
      <c r="AT106" s="124"/>
      <c r="AU106" s="123"/>
      <c r="AV106" s="124"/>
      <c r="AW106" s="123"/>
      <c r="AX106" s="124"/>
      <c r="AY106" s="123"/>
      <c r="AZ106" s="124"/>
      <c r="BA106" s="124"/>
      <c r="BB106" s="125"/>
    </row>
    <row r="107" spans="1:54" s="126" customFormat="1" x14ac:dyDescent="0.2">
      <c r="A107" s="228" t="s">
        <v>191</v>
      </c>
      <c r="B107" s="227"/>
      <c r="C107" s="227"/>
      <c r="D107" s="123"/>
      <c r="E107" s="124"/>
      <c r="F107" s="123"/>
      <c r="G107" s="124"/>
      <c r="H107" s="123"/>
      <c r="I107" s="124"/>
      <c r="J107" s="124"/>
      <c r="K107" s="124"/>
      <c r="L107" s="124"/>
      <c r="M107" s="124"/>
      <c r="N107" s="124"/>
      <c r="O107" s="124"/>
      <c r="P107" s="124"/>
      <c r="Q107" s="123"/>
      <c r="R107" s="124"/>
      <c r="S107" s="124"/>
      <c r="T107" s="124"/>
      <c r="U107" s="123"/>
      <c r="V107" s="124"/>
      <c r="W107" s="123"/>
      <c r="X107" s="124"/>
      <c r="Y107" s="227"/>
      <c r="Z107" s="227"/>
      <c r="AA107" s="227"/>
      <c r="AB107" s="227"/>
      <c r="AC107" s="227"/>
      <c r="AD107" s="227"/>
      <c r="AE107" s="123"/>
      <c r="AF107" s="124"/>
      <c r="AG107" s="124"/>
      <c r="AH107" s="124"/>
      <c r="AI107" s="124"/>
      <c r="AJ107" s="123"/>
      <c r="AK107" s="124"/>
      <c r="AL107" s="123"/>
      <c r="AM107" s="124"/>
      <c r="AN107" s="123"/>
      <c r="AO107" s="124"/>
      <c r="AP107" s="124"/>
      <c r="AQ107" s="123"/>
      <c r="AR107" s="124"/>
      <c r="AS107" s="124"/>
      <c r="AT107" s="124"/>
      <c r="AU107" s="123"/>
      <c r="AV107" s="124"/>
      <c r="AW107" s="123"/>
      <c r="AX107" s="124"/>
      <c r="AY107" s="123"/>
      <c r="AZ107" s="124"/>
      <c r="BA107" s="124"/>
      <c r="BB107" s="125"/>
    </row>
    <row r="108" spans="1:54" s="126" customFormat="1" x14ac:dyDescent="0.2">
      <c r="A108" s="248" t="s">
        <v>246</v>
      </c>
      <c r="B108" s="227"/>
      <c r="C108" s="227"/>
      <c r="D108" s="123"/>
      <c r="E108" s="124"/>
      <c r="F108" s="123"/>
      <c r="G108" s="124"/>
      <c r="H108" s="123"/>
      <c r="I108" s="124"/>
      <c r="J108" s="124"/>
      <c r="K108" s="124"/>
      <c r="L108" s="124"/>
      <c r="M108" s="124"/>
      <c r="N108" s="124"/>
      <c r="O108" s="124"/>
      <c r="P108" s="124"/>
      <c r="Q108" s="123"/>
      <c r="R108" s="124"/>
      <c r="S108" s="124"/>
      <c r="T108" s="124"/>
      <c r="U108" s="123"/>
      <c r="V108" s="124"/>
      <c r="W108" s="123"/>
      <c r="X108" s="124"/>
      <c r="Y108" s="227"/>
      <c r="Z108" s="227"/>
      <c r="AA108" s="227"/>
      <c r="AB108" s="227"/>
      <c r="AC108" s="227"/>
      <c r="AD108" s="227"/>
      <c r="AE108" s="123"/>
      <c r="AF108" s="124"/>
      <c r="AG108" s="124"/>
      <c r="AH108" s="124"/>
      <c r="AI108" s="124"/>
      <c r="AJ108" s="123"/>
      <c r="AK108" s="124"/>
      <c r="AL108" s="123"/>
      <c r="AM108" s="124"/>
      <c r="AN108" s="123"/>
      <c r="AO108" s="124"/>
      <c r="AP108" s="124"/>
      <c r="AQ108" s="123"/>
      <c r="AR108" s="124"/>
      <c r="AS108" s="124"/>
      <c r="AT108" s="124"/>
      <c r="AU108" s="123"/>
      <c r="AV108" s="124"/>
      <c r="AW108" s="123"/>
      <c r="AX108" s="124"/>
      <c r="AY108" s="123"/>
      <c r="AZ108" s="124"/>
      <c r="BA108" s="124"/>
      <c r="BB108" s="125"/>
    </row>
    <row r="109" spans="1:54" s="254" customFormat="1" x14ac:dyDescent="0.2">
      <c r="A109" s="249" t="s">
        <v>240</v>
      </c>
      <c r="B109" s="250"/>
      <c r="C109" s="250"/>
      <c r="D109" s="251"/>
      <c r="E109" s="252"/>
      <c r="F109" s="251"/>
      <c r="G109" s="252"/>
      <c r="H109" s="251"/>
      <c r="I109" s="252"/>
      <c r="J109" s="252"/>
      <c r="K109" s="252"/>
      <c r="L109" s="252"/>
      <c r="M109" s="252"/>
      <c r="N109" s="252"/>
      <c r="O109" s="252"/>
      <c r="P109" s="252"/>
      <c r="Q109" s="251"/>
      <c r="R109" s="252"/>
      <c r="S109" s="252"/>
      <c r="T109" s="252"/>
      <c r="U109" s="251"/>
      <c r="V109" s="252"/>
      <c r="W109" s="251"/>
      <c r="X109" s="252"/>
      <c r="Y109" s="250"/>
      <c r="Z109" s="250"/>
      <c r="AA109" s="250"/>
      <c r="AB109" s="250"/>
      <c r="AC109" s="250"/>
      <c r="AD109" s="250"/>
      <c r="AE109" s="251"/>
      <c r="AF109" s="252"/>
      <c r="AG109" s="252"/>
      <c r="AH109" s="252"/>
      <c r="AI109" s="252"/>
      <c r="AJ109" s="251"/>
      <c r="AK109" s="252"/>
      <c r="AL109" s="251"/>
      <c r="AM109" s="252"/>
      <c r="AN109" s="251"/>
      <c r="AO109" s="252"/>
      <c r="AP109" s="252"/>
      <c r="AQ109" s="251"/>
      <c r="AR109" s="252"/>
      <c r="AS109" s="252"/>
      <c r="AT109" s="252"/>
      <c r="AU109" s="251"/>
      <c r="AV109" s="252"/>
      <c r="AW109" s="251"/>
      <c r="AX109" s="252"/>
      <c r="AY109" s="251"/>
      <c r="AZ109" s="252"/>
      <c r="BA109" s="252"/>
      <c r="BB109" s="253"/>
    </row>
    <row r="110" spans="1:54" s="126" customFormat="1" x14ac:dyDescent="0.2">
      <c r="A110" s="255" t="s">
        <v>228</v>
      </c>
      <c r="B110" s="227"/>
      <c r="C110" s="227"/>
      <c r="D110" s="123"/>
      <c r="E110" s="124"/>
      <c r="F110" s="123"/>
      <c r="G110" s="124"/>
      <c r="H110" s="123"/>
      <c r="I110" s="124"/>
      <c r="J110" s="124"/>
      <c r="K110" s="124"/>
      <c r="L110" s="124"/>
      <c r="M110" s="124"/>
      <c r="N110" s="124"/>
      <c r="O110" s="124"/>
      <c r="P110" s="124"/>
      <c r="Q110" s="123"/>
      <c r="R110" s="124"/>
      <c r="S110" s="124"/>
      <c r="T110" s="124"/>
      <c r="U110" s="123"/>
      <c r="V110" s="124"/>
      <c r="W110" s="123"/>
      <c r="X110" s="124"/>
      <c r="Y110" s="227"/>
      <c r="Z110" s="227"/>
      <c r="AA110" s="227"/>
      <c r="AB110" s="227"/>
      <c r="AC110" s="227"/>
      <c r="AD110" s="227"/>
      <c r="AE110" s="123"/>
      <c r="AF110" s="124"/>
      <c r="AG110" s="124"/>
      <c r="AH110" s="124"/>
      <c r="AI110" s="124"/>
      <c r="AJ110" s="123"/>
      <c r="AK110" s="124"/>
      <c r="AL110" s="123"/>
      <c r="AM110" s="124"/>
      <c r="AN110" s="123"/>
      <c r="AO110" s="124"/>
      <c r="AP110" s="124"/>
      <c r="AQ110" s="123"/>
      <c r="AR110" s="124"/>
      <c r="AS110" s="124"/>
      <c r="AT110" s="124"/>
      <c r="AU110" s="123"/>
      <c r="AV110" s="124"/>
      <c r="AW110" s="123"/>
      <c r="AX110" s="124"/>
      <c r="AY110" s="123"/>
      <c r="AZ110" s="124"/>
      <c r="BA110" s="124"/>
      <c r="BB110" s="125"/>
    </row>
    <row r="111" spans="1:54" s="256" customFormat="1" x14ac:dyDescent="0.2">
      <c r="A111" s="223"/>
      <c r="B111" s="224"/>
      <c r="C111" s="224"/>
      <c r="D111" s="89"/>
      <c r="E111" s="90"/>
      <c r="F111" s="89"/>
      <c r="G111" s="90"/>
      <c r="H111" s="89"/>
      <c r="I111" s="90"/>
      <c r="J111" s="90"/>
      <c r="K111" s="90"/>
      <c r="L111" s="90"/>
      <c r="M111" s="90"/>
      <c r="N111" s="90"/>
      <c r="O111" s="90"/>
      <c r="P111" s="90"/>
      <c r="Q111" s="89"/>
      <c r="R111" s="90"/>
      <c r="S111" s="90"/>
      <c r="T111" s="90"/>
      <c r="U111" s="89"/>
      <c r="V111" s="90"/>
      <c r="W111" s="89"/>
      <c r="X111" s="90"/>
      <c r="Y111" s="224"/>
      <c r="Z111" s="224"/>
      <c r="AA111" s="224"/>
      <c r="AB111" s="224"/>
      <c r="AC111" s="224"/>
      <c r="AD111" s="224"/>
      <c r="AE111" s="89"/>
      <c r="AF111" s="90"/>
      <c r="AG111" s="90"/>
      <c r="AH111" s="90"/>
      <c r="AI111" s="90"/>
      <c r="AJ111" s="89"/>
      <c r="AK111" s="90"/>
      <c r="AL111" s="89"/>
      <c r="AM111" s="90"/>
      <c r="AN111" s="89"/>
      <c r="AO111" s="90"/>
      <c r="AP111" s="90"/>
      <c r="AQ111" s="89"/>
      <c r="AR111" s="90"/>
      <c r="AS111" s="90"/>
      <c r="AT111" s="90"/>
      <c r="AU111" s="89"/>
      <c r="AV111" s="90"/>
      <c r="AW111" s="89"/>
      <c r="AX111" s="90"/>
      <c r="AY111" s="89"/>
      <c r="AZ111" s="90"/>
      <c r="BA111" s="90"/>
      <c r="BB111" s="91"/>
    </row>
    <row r="112" spans="1:54" s="256" customFormat="1" x14ac:dyDescent="0.2">
      <c r="A112" s="271" t="s">
        <v>94</v>
      </c>
      <c r="B112" s="272"/>
      <c r="C112" s="273"/>
      <c r="D112" s="274"/>
      <c r="E112" s="275"/>
      <c r="F112" s="274"/>
      <c r="G112" s="275"/>
      <c r="H112" s="274"/>
      <c r="I112" s="275"/>
      <c r="J112" s="275"/>
      <c r="K112" s="275"/>
      <c r="L112" s="275"/>
      <c r="M112" s="275"/>
      <c r="N112" s="275"/>
      <c r="O112" s="275"/>
      <c r="P112" s="275"/>
      <c r="Q112" s="274"/>
      <c r="R112" s="275"/>
      <c r="S112" s="275"/>
      <c r="T112" s="275"/>
      <c r="U112" s="274"/>
      <c r="V112" s="275"/>
      <c r="W112" s="274"/>
      <c r="X112" s="275"/>
      <c r="Y112" s="272"/>
      <c r="Z112" s="272"/>
      <c r="AA112" s="272"/>
      <c r="AB112" s="272"/>
      <c r="AC112" s="272"/>
      <c r="AD112" s="272"/>
      <c r="AE112" s="274"/>
      <c r="AF112" s="275"/>
      <c r="AG112" s="275"/>
      <c r="AH112" s="275"/>
      <c r="AI112" s="275"/>
      <c r="AJ112" s="274"/>
      <c r="AK112" s="275"/>
      <c r="AL112" s="274"/>
      <c r="AM112" s="275"/>
      <c r="AN112" s="274"/>
      <c r="AO112" s="275"/>
      <c r="AP112" s="275"/>
      <c r="AQ112" s="274"/>
      <c r="AR112" s="275"/>
      <c r="AS112" s="275"/>
      <c r="AT112" s="275"/>
      <c r="AU112" s="274"/>
      <c r="AV112" s="275"/>
      <c r="AW112" s="274"/>
      <c r="AX112" s="275"/>
      <c r="AY112" s="274"/>
      <c r="AZ112" s="275"/>
      <c r="BA112" s="275"/>
      <c r="BB112" s="276"/>
    </row>
    <row r="113" spans="1:54" x14ac:dyDescent="0.2">
      <c r="A113" s="277" t="s">
        <v>98</v>
      </c>
      <c r="B113" s="278"/>
      <c r="C113" s="278"/>
      <c r="D113" s="278"/>
      <c r="E113" s="278"/>
      <c r="F113" s="279"/>
      <c r="G113" s="278"/>
      <c r="H113" s="279"/>
      <c r="I113" s="278"/>
      <c r="J113" s="278"/>
      <c r="K113" s="278"/>
      <c r="L113" s="278"/>
      <c r="M113" s="278"/>
      <c r="N113" s="278"/>
      <c r="O113" s="278"/>
      <c r="P113" s="278"/>
      <c r="Q113" s="279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80"/>
      <c r="AK113" s="278"/>
      <c r="AL113" s="280"/>
      <c r="AM113" s="278"/>
      <c r="AN113" s="279"/>
      <c r="AO113" s="278"/>
      <c r="AP113" s="278"/>
      <c r="AQ113" s="279"/>
      <c r="AR113" s="278"/>
      <c r="AS113" s="278"/>
      <c r="AT113" s="278"/>
      <c r="AU113" s="279"/>
      <c r="AV113" s="278"/>
      <c r="AW113" s="281"/>
      <c r="AX113" s="278"/>
      <c r="AY113" s="279"/>
      <c r="AZ113" s="282"/>
      <c r="BA113" s="278"/>
      <c r="BB113" s="283"/>
    </row>
    <row r="114" spans="1:54" x14ac:dyDescent="0.2">
      <c r="A114" s="284"/>
      <c r="B114" s="285"/>
      <c r="C114" s="286"/>
      <c r="D114" s="287"/>
      <c r="E114" s="288"/>
      <c r="F114" s="287"/>
      <c r="G114" s="288"/>
      <c r="H114" s="287"/>
      <c r="I114" s="288"/>
      <c r="J114" s="288"/>
      <c r="K114" s="288"/>
      <c r="L114" s="288"/>
      <c r="M114" s="288"/>
      <c r="N114" s="288"/>
      <c r="O114" s="288"/>
      <c r="P114" s="288"/>
      <c r="Q114" s="287"/>
      <c r="R114" s="288"/>
      <c r="S114" s="288"/>
      <c r="T114" s="288"/>
      <c r="U114" s="287"/>
      <c r="V114" s="288"/>
      <c r="W114" s="287"/>
      <c r="X114" s="288"/>
      <c r="Y114" s="285"/>
      <c r="Z114" s="285"/>
      <c r="AA114" s="285"/>
      <c r="AB114" s="285"/>
      <c r="AC114" s="285"/>
      <c r="AD114" s="285"/>
      <c r="AE114" s="287"/>
      <c r="AF114" s="288"/>
      <c r="AG114" s="288"/>
      <c r="AH114" s="288"/>
      <c r="AI114" s="288"/>
      <c r="AJ114" s="287"/>
      <c r="AK114" s="288"/>
      <c r="AL114" s="287"/>
      <c r="AM114" s="288"/>
      <c r="AN114" s="287"/>
      <c r="AO114" s="288"/>
      <c r="AP114" s="288"/>
      <c r="AQ114" s="287"/>
      <c r="AR114" s="288"/>
      <c r="AS114" s="288"/>
      <c r="AT114" s="288"/>
      <c r="AU114" s="287"/>
      <c r="AV114" s="288"/>
      <c r="AW114" s="287"/>
      <c r="AX114" s="288"/>
      <c r="AY114" s="287"/>
      <c r="AZ114" s="288"/>
      <c r="BA114" s="288"/>
      <c r="BB114" s="289"/>
    </row>
    <row r="115" spans="1:54" x14ac:dyDescent="0.2">
      <c r="A115" s="92" t="s">
        <v>100</v>
      </c>
      <c r="B115" s="93"/>
      <c r="C115" s="94"/>
      <c r="D115" s="95"/>
      <c r="E115" s="96"/>
      <c r="F115" s="95"/>
      <c r="G115" s="96"/>
      <c r="H115" s="95"/>
      <c r="I115" s="96"/>
      <c r="J115" s="96"/>
      <c r="K115" s="96"/>
      <c r="L115" s="96"/>
      <c r="M115" s="96"/>
      <c r="N115" s="96"/>
      <c r="O115" s="96"/>
      <c r="P115" s="96"/>
      <c r="Q115" s="95"/>
      <c r="R115" s="96"/>
      <c r="S115" s="96"/>
      <c r="T115" s="96"/>
      <c r="U115" s="95"/>
      <c r="V115" s="96"/>
      <c r="W115" s="95"/>
      <c r="X115" s="96"/>
      <c r="Y115" s="93"/>
      <c r="Z115" s="93"/>
      <c r="AA115" s="93"/>
      <c r="AB115" s="93"/>
      <c r="AC115" s="93"/>
      <c r="AD115" s="93"/>
      <c r="AE115" s="95"/>
      <c r="AF115" s="96"/>
      <c r="AG115" s="96"/>
      <c r="AH115" s="96"/>
      <c r="AI115" s="96"/>
      <c r="AJ115" s="95"/>
      <c r="AK115" s="96"/>
      <c r="AL115" s="95"/>
      <c r="AM115" s="96"/>
      <c r="AN115" s="95"/>
      <c r="AO115" s="96"/>
      <c r="AP115" s="96"/>
      <c r="AQ115" s="95"/>
      <c r="AR115" s="96"/>
      <c r="AS115" s="96"/>
      <c r="AT115" s="96"/>
      <c r="AU115" s="95"/>
      <c r="AV115" s="96"/>
      <c r="AW115" s="95"/>
      <c r="AX115" s="96"/>
      <c r="AY115" s="95"/>
      <c r="AZ115" s="96"/>
      <c r="BA115" s="96"/>
      <c r="BB115" s="97"/>
    </row>
    <row r="116" spans="1:54" x14ac:dyDescent="0.2">
      <c r="A116" s="229" t="s">
        <v>101</v>
      </c>
      <c r="B116" s="230"/>
      <c r="C116" s="230"/>
      <c r="D116" s="230"/>
      <c r="E116" s="230"/>
      <c r="F116" s="98"/>
      <c r="G116" s="230"/>
      <c r="H116" s="98"/>
      <c r="I116" s="230"/>
      <c r="J116" s="230"/>
      <c r="K116" s="230"/>
      <c r="L116" s="230"/>
      <c r="M116" s="230"/>
      <c r="N116" s="230"/>
      <c r="O116" s="230"/>
      <c r="P116" s="230"/>
      <c r="Q116" s="98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1"/>
      <c r="AK116" s="230"/>
      <c r="AL116" s="231"/>
      <c r="AM116" s="230"/>
      <c r="AN116" s="98"/>
      <c r="AO116" s="230"/>
      <c r="AP116" s="230"/>
      <c r="AQ116" s="98"/>
      <c r="AR116" s="230"/>
      <c r="AS116" s="230"/>
      <c r="AT116" s="230"/>
      <c r="AU116" s="98"/>
      <c r="AV116" s="230"/>
      <c r="AW116" s="270"/>
      <c r="AX116" s="230"/>
      <c r="AY116" s="98"/>
      <c r="AZ116" s="163"/>
      <c r="BA116" s="230"/>
      <c r="BB116" s="99"/>
    </row>
    <row r="117" spans="1:54" x14ac:dyDescent="0.2">
      <c r="A117" s="229" t="s">
        <v>102</v>
      </c>
      <c r="B117" s="230"/>
      <c r="C117" s="230"/>
      <c r="D117" s="230"/>
      <c r="E117" s="230"/>
      <c r="F117" s="98"/>
      <c r="G117" s="230"/>
      <c r="H117" s="98"/>
      <c r="I117" s="230"/>
      <c r="J117" s="230"/>
      <c r="K117" s="230"/>
      <c r="L117" s="230"/>
      <c r="M117" s="230"/>
      <c r="N117" s="230"/>
      <c r="O117" s="230"/>
      <c r="P117" s="230"/>
      <c r="Q117" s="98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1"/>
      <c r="AK117" s="230"/>
      <c r="AL117" s="231"/>
      <c r="AM117" s="230"/>
      <c r="AN117" s="98"/>
      <c r="AO117" s="230"/>
      <c r="AP117" s="230"/>
      <c r="AQ117" s="98"/>
      <c r="AR117" s="230"/>
      <c r="AS117" s="230"/>
      <c r="AT117" s="230"/>
      <c r="AU117" s="98"/>
      <c r="AV117" s="230"/>
      <c r="AW117" s="270"/>
      <c r="AX117" s="230"/>
      <c r="AY117" s="98"/>
      <c r="AZ117" s="163"/>
      <c r="BA117" s="230"/>
      <c r="BB117" s="99"/>
    </row>
    <row r="118" spans="1:54" x14ac:dyDescent="0.2">
      <c r="A118" s="229" t="s">
        <v>103</v>
      </c>
      <c r="B118" s="230"/>
      <c r="C118" s="230"/>
      <c r="D118" s="230"/>
      <c r="E118" s="230"/>
      <c r="F118" s="98"/>
      <c r="G118" s="230"/>
      <c r="H118" s="98"/>
      <c r="I118" s="230"/>
      <c r="J118" s="230"/>
      <c r="K118" s="230"/>
      <c r="L118" s="230"/>
      <c r="M118" s="230"/>
      <c r="N118" s="230"/>
      <c r="O118" s="230"/>
      <c r="P118" s="230"/>
      <c r="Q118" s="98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1"/>
      <c r="AK118" s="230"/>
      <c r="AL118" s="231"/>
      <c r="AM118" s="230"/>
      <c r="AN118" s="98"/>
      <c r="AO118" s="230"/>
      <c r="AP118" s="230"/>
      <c r="AQ118" s="98"/>
      <c r="AR118" s="230"/>
      <c r="AS118" s="230"/>
      <c r="AT118" s="230"/>
      <c r="AU118" s="98"/>
      <c r="AV118" s="230"/>
      <c r="AW118" s="270"/>
      <c r="AX118" s="230"/>
      <c r="AY118" s="98"/>
      <c r="AZ118" s="163"/>
      <c r="BA118" s="230"/>
      <c r="BB118" s="99"/>
    </row>
    <row r="119" spans="1:54" x14ac:dyDescent="0.2">
      <c r="A119" s="229" t="s">
        <v>104</v>
      </c>
      <c r="B119" s="230"/>
      <c r="C119" s="230"/>
      <c r="D119" s="230"/>
      <c r="E119" s="230"/>
      <c r="F119" s="98"/>
      <c r="G119" s="230"/>
      <c r="H119" s="98"/>
      <c r="I119" s="230"/>
      <c r="J119" s="230"/>
      <c r="K119" s="230"/>
      <c r="L119" s="230"/>
      <c r="M119" s="230"/>
      <c r="N119" s="230"/>
      <c r="O119" s="230"/>
      <c r="P119" s="230"/>
      <c r="Q119" s="98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1"/>
      <c r="AK119" s="230"/>
      <c r="AL119" s="231"/>
      <c r="AM119" s="230"/>
      <c r="AN119" s="98"/>
      <c r="AO119" s="230"/>
      <c r="AP119" s="230"/>
      <c r="AQ119" s="98"/>
      <c r="AR119" s="230"/>
      <c r="AS119" s="230"/>
      <c r="AT119" s="230"/>
      <c r="AU119" s="98"/>
      <c r="AV119" s="230"/>
      <c r="AW119" s="270"/>
      <c r="AX119" s="230"/>
      <c r="AY119" s="98"/>
      <c r="AZ119" s="163"/>
      <c r="BA119" s="230"/>
      <c r="BB119" s="99"/>
    </row>
    <row r="120" spans="1:54" x14ac:dyDescent="0.2">
      <c r="A120" s="229" t="s">
        <v>105</v>
      </c>
      <c r="B120" s="230"/>
      <c r="C120" s="230"/>
      <c r="D120" s="230"/>
      <c r="E120" s="230"/>
      <c r="F120" s="98"/>
      <c r="G120" s="230"/>
      <c r="H120" s="98"/>
      <c r="I120" s="230"/>
      <c r="J120" s="230"/>
      <c r="K120" s="230"/>
      <c r="L120" s="230"/>
      <c r="M120" s="230"/>
      <c r="N120" s="230"/>
      <c r="O120" s="230"/>
      <c r="P120" s="230"/>
      <c r="Q120" s="98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1"/>
      <c r="AK120" s="230"/>
      <c r="AL120" s="231"/>
      <c r="AM120" s="230"/>
      <c r="AN120" s="98"/>
      <c r="AO120" s="230"/>
      <c r="AP120" s="230"/>
      <c r="AQ120" s="98"/>
      <c r="AR120" s="230"/>
      <c r="AS120" s="230"/>
      <c r="AT120" s="230"/>
      <c r="AU120" s="98"/>
      <c r="AV120" s="230"/>
      <c r="AW120" s="270"/>
      <c r="AX120" s="230"/>
      <c r="AY120" s="98"/>
      <c r="AZ120" s="163"/>
      <c r="BA120" s="230"/>
      <c r="BB120" s="99"/>
    </row>
    <row r="121" spans="1:54" x14ac:dyDescent="0.2">
      <c r="A121" s="100"/>
      <c r="B121" s="101"/>
      <c r="C121" s="102"/>
      <c r="D121" s="103"/>
      <c r="E121" s="104"/>
      <c r="F121" s="103"/>
      <c r="G121" s="104"/>
      <c r="H121" s="103"/>
      <c r="I121" s="104"/>
      <c r="J121" s="104"/>
      <c r="K121" s="104"/>
      <c r="L121" s="104"/>
      <c r="M121" s="104"/>
      <c r="N121" s="104"/>
      <c r="O121" s="104"/>
      <c r="P121" s="104"/>
      <c r="Q121" s="103"/>
      <c r="R121" s="104"/>
      <c r="S121" s="104"/>
      <c r="T121" s="104"/>
      <c r="U121" s="103"/>
      <c r="V121" s="104"/>
      <c r="W121" s="103"/>
      <c r="X121" s="104"/>
      <c r="Y121" s="101"/>
      <c r="Z121" s="101"/>
      <c r="AA121" s="101"/>
      <c r="AB121" s="101"/>
      <c r="AC121" s="101"/>
      <c r="AD121" s="101"/>
      <c r="AE121" s="103"/>
      <c r="AF121" s="104"/>
      <c r="AG121" s="104"/>
      <c r="AH121" s="104"/>
      <c r="AI121" s="104"/>
      <c r="AJ121" s="103"/>
      <c r="AK121" s="104"/>
      <c r="AL121" s="103"/>
      <c r="AM121" s="104"/>
      <c r="AN121" s="103"/>
      <c r="AO121" s="104"/>
      <c r="AP121" s="104"/>
      <c r="AQ121" s="103"/>
      <c r="AR121" s="104"/>
      <c r="AS121" s="104"/>
      <c r="AT121" s="104"/>
      <c r="AU121" s="103"/>
      <c r="AV121" s="104"/>
      <c r="AW121" s="103"/>
      <c r="AX121" s="104"/>
      <c r="AY121" s="103"/>
      <c r="AZ121" s="104"/>
      <c r="BA121" s="104"/>
      <c r="BB121" s="105"/>
    </row>
  </sheetData>
  <sheetProtection algorithmName="SHA-512" hashValue="RckjdLbbwPUbJ4BTIZyLX3j5dxpTVYxStZbF3XzptCk9UGGJoVgyNxf7HZYjhR2ZjAa/C148ab3uTP8FmLLfDA==" saltValue="Ydu2o88TQinsM0rQPGBm3Q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60" max="51" man="1"/>
  </rowBreaks>
  <colBreaks count="3" manualBreakCount="3">
    <brk id="16" max="85" man="1"/>
    <brk id="30" max="85" man="1"/>
    <brk id="42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E16" sqref="E16"/>
    </sheetView>
  </sheetViews>
  <sheetFormatPr defaultColWidth="11.42578125" defaultRowHeight="15" x14ac:dyDescent="0.25"/>
  <cols>
    <col min="1" max="1" width="33.28515625" style="188" customWidth="1"/>
    <col min="2" max="2" width="5.5703125" style="201" bestFit="1" customWidth="1"/>
    <col min="3" max="3" width="9.85546875" style="202" customWidth="1"/>
    <col min="4" max="4" width="10.28515625" style="202" customWidth="1"/>
    <col min="5" max="5" width="9.42578125" style="202" bestFit="1" customWidth="1"/>
    <col min="6" max="6" width="12.42578125" style="202" customWidth="1"/>
    <col min="7" max="7" width="9.28515625" style="202" customWidth="1"/>
    <col min="8" max="8" width="12.28515625" style="202" customWidth="1"/>
    <col min="9" max="9" width="8.140625" style="202" bestFit="1" customWidth="1"/>
    <col min="10" max="10" width="9.5703125" style="203" customWidth="1"/>
    <col min="11" max="12" width="11.42578125" style="176"/>
    <col min="13" max="13" width="14.85546875" style="204" bestFit="1" customWidth="1"/>
    <col min="14" max="14" width="9.85546875" style="204" bestFit="1" customWidth="1"/>
    <col min="15" max="16" width="9.28515625" style="204" bestFit="1" customWidth="1"/>
    <col min="17" max="19" width="10.7109375" style="204" bestFit="1" customWidth="1"/>
    <col min="20" max="16384" width="11.42578125" style="190"/>
  </cols>
  <sheetData>
    <row r="1" spans="1:19" s="188" customFormat="1" ht="45" x14ac:dyDescent="0.25">
      <c r="A1" s="296" t="s">
        <v>192</v>
      </c>
      <c r="B1" s="297"/>
      <c r="C1" s="298">
        <v>1204</v>
      </c>
      <c r="D1" s="297">
        <v>3604</v>
      </c>
      <c r="E1" s="297">
        <v>4076</v>
      </c>
      <c r="F1" s="297">
        <v>3620</v>
      </c>
      <c r="G1" s="298" t="s">
        <v>153</v>
      </c>
      <c r="H1" s="297">
        <v>4561</v>
      </c>
      <c r="I1" s="297" t="s">
        <v>154</v>
      </c>
      <c r="J1" s="299" t="s">
        <v>182</v>
      </c>
      <c r="K1" s="300" t="s">
        <v>174</v>
      </c>
      <c r="L1" s="300" t="s">
        <v>175</v>
      </c>
      <c r="M1" s="299" t="s">
        <v>176</v>
      </c>
      <c r="N1" s="299" t="s">
        <v>177</v>
      </c>
      <c r="O1" s="299" t="s">
        <v>178</v>
      </c>
      <c r="P1" s="299" t="s">
        <v>179</v>
      </c>
      <c r="Q1" s="299" t="s">
        <v>180</v>
      </c>
      <c r="R1" s="299" t="s">
        <v>181</v>
      </c>
      <c r="S1" s="299" t="s">
        <v>185</v>
      </c>
    </row>
    <row r="2" spans="1:19" s="189" customFormat="1" ht="30" x14ac:dyDescent="0.25">
      <c r="A2" s="301" t="s">
        <v>193</v>
      </c>
      <c r="B2" s="302"/>
      <c r="C2" s="303">
        <v>30</v>
      </c>
      <c r="D2" s="302">
        <v>77</v>
      </c>
      <c r="E2" s="302">
        <v>19.100000000000001</v>
      </c>
      <c r="F2" s="302">
        <v>50</v>
      </c>
      <c r="G2" s="303">
        <v>7.5</v>
      </c>
      <c r="H2" s="302" t="s">
        <v>194</v>
      </c>
      <c r="I2" s="302"/>
      <c r="J2" s="304"/>
      <c r="K2" s="299"/>
      <c r="L2" s="299"/>
      <c r="M2" s="299"/>
      <c r="N2" s="299"/>
      <c r="O2" s="299"/>
      <c r="P2" s="299"/>
      <c r="Q2" s="299"/>
      <c r="R2" s="299"/>
      <c r="S2" s="299"/>
    </row>
    <row r="3" spans="1:19" s="188" customFormat="1" x14ac:dyDescent="0.25">
      <c r="A3" s="296"/>
      <c r="B3" s="297"/>
      <c r="C3" s="298" t="s">
        <v>155</v>
      </c>
      <c r="D3" s="297" t="s">
        <v>156</v>
      </c>
      <c r="E3" s="297" t="s">
        <v>157</v>
      </c>
      <c r="F3" s="297" t="s">
        <v>158</v>
      </c>
      <c r="G3" s="298"/>
      <c r="H3" s="297" t="s">
        <v>159</v>
      </c>
      <c r="I3" s="297"/>
      <c r="J3" s="305"/>
      <c r="K3" s="300"/>
      <c r="L3" s="300"/>
      <c r="M3" s="299"/>
      <c r="N3" s="299"/>
      <c r="O3" s="299"/>
      <c r="P3" s="299"/>
      <c r="Q3" s="299"/>
      <c r="R3" s="299"/>
      <c r="S3" s="299"/>
    </row>
    <row r="4" spans="1:19" x14ac:dyDescent="0.25">
      <c r="A4" s="164" t="s">
        <v>160</v>
      </c>
      <c r="B4" s="165">
        <v>2023</v>
      </c>
      <c r="C4" s="166">
        <v>16.707999999999998</v>
      </c>
      <c r="D4" s="166">
        <v>23.67</v>
      </c>
      <c r="E4" s="166">
        <v>19.315000000000001</v>
      </c>
      <c r="F4" s="166">
        <v>15.925000000000001</v>
      </c>
      <c r="G4" s="166"/>
      <c r="H4" s="166">
        <v>22.271000000000001</v>
      </c>
      <c r="I4" s="166"/>
      <c r="J4" s="167"/>
      <c r="K4" s="166"/>
      <c r="L4" s="166"/>
      <c r="M4" s="168"/>
      <c r="N4" s="168"/>
      <c r="O4" s="168"/>
      <c r="P4" s="168"/>
      <c r="Q4" s="168"/>
      <c r="R4" s="168"/>
      <c r="S4" s="168"/>
    </row>
    <row r="5" spans="1:19" x14ac:dyDescent="0.25">
      <c r="A5" s="191" t="s">
        <v>160</v>
      </c>
      <c r="B5" s="192">
        <v>2024</v>
      </c>
      <c r="C5" s="169">
        <v>17.577000000000002</v>
      </c>
      <c r="D5" s="169">
        <v>24.901</v>
      </c>
      <c r="E5" s="169">
        <v>19.315000000000001</v>
      </c>
      <c r="F5" s="169">
        <v>16.753</v>
      </c>
      <c r="G5" s="169"/>
      <c r="H5" s="169">
        <v>22.271000000000001</v>
      </c>
      <c r="I5" s="169"/>
      <c r="J5" s="170"/>
      <c r="K5" s="169"/>
      <c r="L5" s="169"/>
      <c r="M5" s="171"/>
      <c r="N5" s="171"/>
      <c r="O5" s="171"/>
      <c r="P5" s="171"/>
      <c r="Q5" s="171"/>
      <c r="R5" s="171"/>
      <c r="S5" s="171"/>
    </row>
    <row r="6" spans="1:19" x14ac:dyDescent="0.25">
      <c r="A6" s="164" t="s">
        <v>186</v>
      </c>
      <c r="B6" s="165">
        <v>2023</v>
      </c>
      <c r="C6" s="166">
        <v>16.45</v>
      </c>
      <c r="D6" s="166">
        <v>23.38</v>
      </c>
      <c r="E6" s="166">
        <v>18.93</v>
      </c>
      <c r="F6" s="166">
        <v>15.72</v>
      </c>
      <c r="G6" s="166">
        <v>26.7</v>
      </c>
      <c r="H6" s="166">
        <v>22.03</v>
      </c>
      <c r="I6" s="166"/>
      <c r="J6" s="167"/>
      <c r="K6" s="166"/>
      <c r="L6" s="166"/>
      <c r="M6" s="168"/>
      <c r="N6" s="168"/>
      <c r="O6" s="168"/>
      <c r="P6" s="168"/>
      <c r="Q6" s="168"/>
      <c r="R6" s="168"/>
      <c r="S6" s="168"/>
    </row>
    <row r="7" spans="1:19" x14ac:dyDescent="0.25">
      <c r="A7" s="191" t="s">
        <v>186</v>
      </c>
      <c r="B7" s="192">
        <v>2024</v>
      </c>
      <c r="C7" s="169">
        <f>529.8/30</f>
        <v>17.66</v>
      </c>
      <c r="D7" s="169">
        <f>1926.4/77</f>
        <v>25.018181818181819</v>
      </c>
      <c r="E7" s="169">
        <v>0</v>
      </c>
      <c r="F7" s="169">
        <f>841.8/50</f>
        <v>16.835999999999999</v>
      </c>
      <c r="G7" s="169">
        <f>214/7.5</f>
        <v>28.533333333333335</v>
      </c>
      <c r="H7" s="169">
        <v>0</v>
      </c>
      <c r="I7" s="169"/>
      <c r="J7" s="170"/>
      <c r="K7" s="169"/>
      <c r="L7" s="169"/>
      <c r="M7" s="171"/>
      <c r="N7" s="171"/>
      <c r="O7" s="171"/>
      <c r="P7" s="171"/>
      <c r="Q7" s="171"/>
      <c r="R7" s="171"/>
      <c r="S7" s="171"/>
    </row>
    <row r="8" spans="1:19" x14ac:dyDescent="0.25">
      <c r="A8" s="164" t="s">
        <v>113</v>
      </c>
      <c r="B8" s="165">
        <v>2023</v>
      </c>
      <c r="C8" s="166">
        <v>16.192</v>
      </c>
      <c r="D8" s="166">
        <v>22.937999999999999</v>
      </c>
      <c r="E8" s="166">
        <v>14.794</v>
      </c>
      <c r="F8" s="166">
        <v>15.435</v>
      </c>
      <c r="G8" s="166">
        <v>0</v>
      </c>
      <c r="H8" s="166">
        <v>20.981999999999999</v>
      </c>
      <c r="I8" s="166"/>
      <c r="J8" s="167"/>
      <c r="K8" s="166"/>
      <c r="L8" s="166"/>
      <c r="M8" s="168"/>
      <c r="N8" s="168"/>
      <c r="O8" s="168"/>
      <c r="P8" s="168"/>
      <c r="Q8" s="168"/>
      <c r="R8" s="168"/>
      <c r="S8" s="168"/>
    </row>
    <row r="9" spans="1:19" x14ac:dyDescent="0.25">
      <c r="A9" s="191" t="s">
        <v>113</v>
      </c>
      <c r="B9" s="192">
        <v>2024</v>
      </c>
      <c r="C9" s="169">
        <v>17.033999999999999</v>
      </c>
      <c r="D9" s="169">
        <v>24.131</v>
      </c>
      <c r="E9" s="169">
        <v>19.14</v>
      </c>
      <c r="F9" s="169">
        <v>16.238</v>
      </c>
      <c r="G9" s="169">
        <v>0</v>
      </c>
      <c r="H9" s="169">
        <v>22.073</v>
      </c>
      <c r="I9" s="169"/>
      <c r="J9" s="170"/>
      <c r="K9" s="169"/>
      <c r="L9" s="169"/>
      <c r="M9" s="169"/>
      <c r="N9" s="169"/>
      <c r="O9" s="169"/>
      <c r="P9" s="169"/>
      <c r="Q9" s="171"/>
      <c r="R9" s="171"/>
      <c r="S9" s="171"/>
    </row>
    <row r="10" spans="1:19" x14ac:dyDescent="0.25">
      <c r="A10" s="164" t="s">
        <v>183</v>
      </c>
      <c r="B10" s="165">
        <v>2023</v>
      </c>
      <c r="C10" s="166">
        <v>16.422000000000001</v>
      </c>
      <c r="D10" s="166">
        <v>23.263000000000002</v>
      </c>
      <c r="E10" s="166">
        <v>17.442</v>
      </c>
      <c r="F10" s="166">
        <v>15.657999999999999</v>
      </c>
      <c r="G10" s="166">
        <v>0</v>
      </c>
      <c r="H10" s="166">
        <v>21.283000000000001</v>
      </c>
      <c r="I10" s="166"/>
      <c r="J10" s="167"/>
      <c r="K10" s="166"/>
      <c r="L10" s="166"/>
      <c r="M10" s="168"/>
      <c r="N10" s="168"/>
      <c r="O10" s="168"/>
      <c r="P10" s="168"/>
      <c r="Q10" s="168"/>
      <c r="R10" s="168"/>
      <c r="S10" s="168"/>
    </row>
    <row r="11" spans="1:19" x14ac:dyDescent="0.25">
      <c r="A11" s="191" t="s">
        <v>183</v>
      </c>
      <c r="B11" s="192">
        <v>2024</v>
      </c>
      <c r="C11" s="169">
        <v>17.276</v>
      </c>
      <c r="D11" s="169">
        <v>24.472999999999999</v>
      </c>
      <c r="E11" s="169">
        <v>19.414000000000001</v>
      </c>
      <c r="F11" s="169">
        <v>16.472000000000001</v>
      </c>
      <c r="G11" s="169">
        <v>0</v>
      </c>
      <c r="H11" s="169">
        <v>22.39</v>
      </c>
      <c r="I11" s="169"/>
      <c r="J11" s="170"/>
      <c r="K11" s="169"/>
      <c r="L11" s="169"/>
      <c r="M11" s="171"/>
      <c r="N11" s="171"/>
      <c r="O11" s="171"/>
      <c r="P11" s="171"/>
      <c r="Q11" s="171"/>
      <c r="R11" s="171"/>
      <c r="S11" s="171"/>
    </row>
    <row r="12" spans="1:19" x14ac:dyDescent="0.25">
      <c r="A12" s="164" t="s">
        <v>114</v>
      </c>
      <c r="B12" s="165">
        <v>2023</v>
      </c>
      <c r="C12" s="166">
        <v>15.52</v>
      </c>
      <c r="D12" s="166">
        <v>21.99</v>
      </c>
      <c r="E12" s="166">
        <v>17.809999999999999</v>
      </c>
      <c r="F12" s="166">
        <v>14.81</v>
      </c>
      <c r="G12" s="166">
        <v>25.2</v>
      </c>
      <c r="H12" s="166">
        <v>20.73</v>
      </c>
      <c r="I12" s="166"/>
      <c r="J12" s="167"/>
      <c r="K12" s="166"/>
      <c r="L12" s="166"/>
      <c r="M12" s="168"/>
      <c r="N12" s="168"/>
      <c r="O12" s="168"/>
      <c r="P12" s="168"/>
      <c r="Q12" s="168"/>
      <c r="R12" s="168"/>
      <c r="S12" s="168"/>
    </row>
    <row r="13" spans="1:19" x14ac:dyDescent="0.25">
      <c r="A13" s="191" t="s">
        <v>114</v>
      </c>
      <c r="B13" s="192">
        <v>2024</v>
      </c>
      <c r="C13" s="169">
        <v>16.48</v>
      </c>
      <c r="D13" s="169">
        <v>23.35</v>
      </c>
      <c r="E13" s="169">
        <v>18.91</v>
      </c>
      <c r="F13" s="169">
        <v>15.73</v>
      </c>
      <c r="G13" s="169">
        <v>26.66</v>
      </c>
      <c r="H13" s="169">
        <v>22.01</v>
      </c>
      <c r="I13" s="169"/>
      <c r="J13" s="170"/>
      <c r="K13" s="169"/>
      <c r="L13" s="169"/>
      <c r="M13" s="171"/>
      <c r="N13" s="171"/>
      <c r="O13" s="171"/>
      <c r="P13" s="171"/>
      <c r="Q13" s="171"/>
      <c r="R13" s="171"/>
      <c r="S13" s="171"/>
    </row>
    <row r="14" spans="1:19" x14ac:dyDescent="0.25">
      <c r="A14" s="164" t="s">
        <v>161</v>
      </c>
      <c r="B14" s="165">
        <v>2023</v>
      </c>
      <c r="C14" s="166">
        <v>15.629999999999999</v>
      </c>
      <c r="D14" s="166">
        <v>22.146753246753246</v>
      </c>
      <c r="E14" s="166">
        <v>12.047120418848166</v>
      </c>
      <c r="F14" s="166">
        <v>14.898</v>
      </c>
      <c r="G14" s="166">
        <v>25.266666666666666</v>
      </c>
      <c r="H14" s="166">
        <v>20.853932584269661</v>
      </c>
      <c r="I14" s="166"/>
      <c r="J14" s="167"/>
      <c r="K14" s="166"/>
      <c r="L14" s="166"/>
      <c r="M14" s="168"/>
      <c r="N14" s="168"/>
      <c r="O14" s="168"/>
      <c r="P14" s="168"/>
      <c r="Q14" s="168"/>
      <c r="R14" s="168"/>
      <c r="S14" s="168"/>
    </row>
    <row r="15" spans="1:19" x14ac:dyDescent="0.25">
      <c r="A15" s="164" t="s">
        <v>162</v>
      </c>
      <c r="B15" s="165">
        <v>2023</v>
      </c>
      <c r="C15" s="166">
        <v>16.073333333333334</v>
      </c>
      <c r="D15" s="166">
        <v>22.76883116883117</v>
      </c>
      <c r="E15" s="166">
        <v>18.575916230366492</v>
      </c>
      <c r="F15" s="166">
        <v>15.322000000000001</v>
      </c>
      <c r="G15" s="166">
        <v>25.973333333333336</v>
      </c>
      <c r="H15" s="166">
        <v>21.432835820895519</v>
      </c>
      <c r="I15" s="166"/>
      <c r="J15" s="167"/>
      <c r="K15" s="166"/>
      <c r="L15" s="166"/>
      <c r="M15" s="168"/>
      <c r="N15" s="168"/>
      <c r="O15" s="168"/>
      <c r="P15" s="168"/>
      <c r="Q15" s="168"/>
      <c r="R15" s="168"/>
      <c r="S15" s="168"/>
    </row>
    <row r="16" spans="1:19" x14ac:dyDescent="0.25">
      <c r="A16" s="164" t="s">
        <v>163</v>
      </c>
      <c r="B16" s="165">
        <v>2023</v>
      </c>
      <c r="C16" s="166">
        <v>16.073333333333334</v>
      </c>
      <c r="D16" s="166">
        <v>22.76883116883117</v>
      </c>
      <c r="E16" s="166">
        <v>18.575916230366492</v>
      </c>
      <c r="F16" s="166">
        <v>15.322000000000001</v>
      </c>
      <c r="G16" s="166">
        <v>25.973333333333336</v>
      </c>
      <c r="H16" s="166">
        <v>21.432835820895519</v>
      </c>
      <c r="I16" s="166"/>
      <c r="J16" s="167"/>
      <c r="K16" s="166"/>
      <c r="L16" s="166"/>
      <c r="M16" s="168"/>
      <c r="N16" s="168"/>
      <c r="O16" s="168"/>
      <c r="P16" s="168"/>
      <c r="Q16" s="168"/>
      <c r="R16" s="168"/>
      <c r="S16" s="168"/>
    </row>
    <row r="17" spans="1:19" ht="90" x14ac:dyDescent="0.25">
      <c r="A17" s="172" t="s">
        <v>195</v>
      </c>
      <c r="B17" s="165">
        <v>2023</v>
      </c>
      <c r="C17" s="166">
        <v>16.413333333333334</v>
      </c>
      <c r="D17" s="166">
        <v>23.250649350649351</v>
      </c>
      <c r="E17" s="166">
        <v>18.973821989528794</v>
      </c>
      <c r="F17" s="166">
        <v>15.644</v>
      </c>
      <c r="G17" s="166">
        <v>26.56</v>
      </c>
      <c r="H17" s="166">
        <v>21.880597014925371</v>
      </c>
      <c r="I17" s="166"/>
      <c r="J17" s="167"/>
      <c r="K17" s="166">
        <v>0</v>
      </c>
      <c r="L17" s="166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</row>
    <row r="18" spans="1:19" x14ac:dyDescent="0.25">
      <c r="A18" s="164" t="s">
        <v>164</v>
      </c>
      <c r="B18" s="165">
        <v>2023</v>
      </c>
      <c r="C18" s="166">
        <v>17.276666666666664</v>
      </c>
      <c r="D18" s="166">
        <v>24.471428571428572</v>
      </c>
      <c r="E18" s="166">
        <v>13.31937172774869</v>
      </c>
      <c r="F18" s="166">
        <v>16.472000000000001</v>
      </c>
      <c r="G18" s="166">
        <v>27.893333333333331</v>
      </c>
      <c r="H18" s="166">
        <v>23.067415730337078</v>
      </c>
      <c r="I18" s="166"/>
      <c r="J18" s="167"/>
      <c r="K18" s="166"/>
      <c r="L18" s="166"/>
      <c r="M18" s="168"/>
      <c r="N18" s="168"/>
      <c r="O18" s="168"/>
      <c r="P18" s="168"/>
      <c r="Q18" s="168"/>
      <c r="R18" s="168"/>
      <c r="S18" s="168"/>
    </row>
    <row r="19" spans="1:19" x14ac:dyDescent="0.25">
      <c r="A19" s="164" t="s">
        <v>165</v>
      </c>
      <c r="B19" s="165">
        <v>2023</v>
      </c>
      <c r="C19" s="166">
        <v>22.066666666666666</v>
      </c>
      <c r="D19" s="166">
        <v>31.28051948051948</v>
      </c>
      <c r="E19" s="166">
        <v>25.523560209424083</v>
      </c>
      <c r="F19" s="166">
        <v>21.045999999999999</v>
      </c>
      <c r="G19" s="166">
        <v>35.706666666666671</v>
      </c>
      <c r="H19" s="166">
        <v>29.440298507462686</v>
      </c>
      <c r="I19" s="166"/>
      <c r="J19" s="167"/>
      <c r="K19" s="166"/>
      <c r="L19" s="166"/>
      <c r="M19" s="168"/>
      <c r="N19" s="168"/>
      <c r="O19" s="168"/>
      <c r="P19" s="168"/>
      <c r="Q19" s="168"/>
      <c r="R19" s="168"/>
      <c r="S19" s="168"/>
    </row>
    <row r="20" spans="1:19" x14ac:dyDescent="0.25">
      <c r="A20" s="164" t="s">
        <v>166</v>
      </c>
      <c r="B20" s="165">
        <v>2023</v>
      </c>
      <c r="C20" s="166">
        <v>22.066666666666666</v>
      </c>
      <c r="D20" s="166">
        <v>31.28051948051948</v>
      </c>
      <c r="E20" s="166">
        <v>25.523560209424083</v>
      </c>
      <c r="F20" s="166">
        <v>21.045999999999999</v>
      </c>
      <c r="G20" s="166">
        <v>35.706666666666671</v>
      </c>
      <c r="H20" s="166">
        <v>29.440298507462686</v>
      </c>
      <c r="I20" s="166"/>
      <c r="J20" s="167"/>
      <c r="K20" s="166"/>
      <c r="L20" s="166"/>
      <c r="M20" s="168"/>
      <c r="N20" s="168"/>
      <c r="O20" s="168"/>
      <c r="P20" s="168"/>
      <c r="Q20" s="168"/>
      <c r="R20" s="168"/>
      <c r="S20" s="168"/>
    </row>
    <row r="21" spans="1:19" ht="105" x14ac:dyDescent="0.25">
      <c r="A21" s="172" t="s">
        <v>167</v>
      </c>
      <c r="B21" s="165">
        <v>2023</v>
      </c>
      <c r="C21" s="166">
        <v>22.076666666666664</v>
      </c>
      <c r="D21" s="166">
        <v>31.28051948051948</v>
      </c>
      <c r="E21" s="166">
        <v>19.633507853403138</v>
      </c>
      <c r="F21" s="166">
        <v>21.048000000000002</v>
      </c>
      <c r="G21" s="166">
        <v>19.992537313432834</v>
      </c>
      <c r="H21" s="166">
        <v>22.641791044776117</v>
      </c>
      <c r="I21" s="166"/>
      <c r="J21" s="167"/>
      <c r="K21" s="166"/>
      <c r="L21" s="166"/>
      <c r="M21" s="168"/>
      <c r="N21" s="168"/>
      <c r="O21" s="168"/>
      <c r="P21" s="168"/>
      <c r="Q21" s="168"/>
      <c r="R21" s="168"/>
      <c r="S21" s="168"/>
    </row>
    <row r="22" spans="1:19" x14ac:dyDescent="0.25">
      <c r="A22" s="191" t="s">
        <v>161</v>
      </c>
      <c r="B22" s="192">
        <v>2024</v>
      </c>
      <c r="C22" s="169">
        <f>492.3/30</f>
        <v>16.41</v>
      </c>
      <c r="D22" s="169">
        <f>1790.6/77</f>
        <v>23.254545454545454</v>
      </c>
      <c r="E22" s="169">
        <f>241.6/19.1</f>
        <v>12.649214659685862</v>
      </c>
      <c r="F22" s="169">
        <f>782.1/50</f>
        <v>15.642000000000001</v>
      </c>
      <c r="G22" s="169">
        <f>199/7.5</f>
        <v>26.533333333333335</v>
      </c>
      <c r="H22" s="169">
        <f>194.9/8.9</f>
        <v>21.898876404494381</v>
      </c>
      <c r="I22" s="169"/>
      <c r="J22" s="170"/>
      <c r="K22" s="169"/>
      <c r="L22" s="169"/>
      <c r="M22" s="171"/>
      <c r="N22" s="171"/>
      <c r="O22" s="171"/>
      <c r="P22" s="171"/>
      <c r="Q22" s="171"/>
      <c r="R22" s="171"/>
      <c r="S22" s="171"/>
    </row>
    <row r="23" spans="1:19" x14ac:dyDescent="0.25">
      <c r="A23" s="191" t="s">
        <v>162</v>
      </c>
      <c r="B23" s="192">
        <v>2024</v>
      </c>
      <c r="C23" s="169">
        <f>506.3/30</f>
        <v>16.876666666666669</v>
      </c>
      <c r="D23" s="169">
        <f>1840.9/77</f>
        <v>23.907792207792209</v>
      </c>
      <c r="E23" s="169">
        <f>372.5/19.1</f>
        <v>19.502617801047119</v>
      </c>
      <c r="F23" s="169">
        <f>804.4/50</f>
        <v>16.088000000000001</v>
      </c>
      <c r="G23" s="169">
        <f>204.5/7.5</f>
        <v>27.266666666666666</v>
      </c>
      <c r="H23" s="169">
        <f>301.6/13.4</f>
        <v>22.507462686567166</v>
      </c>
      <c r="I23" s="169"/>
      <c r="J23" s="170"/>
      <c r="K23" s="169"/>
      <c r="L23" s="169"/>
      <c r="M23" s="171"/>
      <c r="N23" s="171"/>
      <c r="O23" s="171"/>
      <c r="P23" s="171"/>
      <c r="Q23" s="171"/>
      <c r="R23" s="171"/>
      <c r="S23" s="171"/>
    </row>
    <row r="24" spans="1:19" x14ac:dyDescent="0.25">
      <c r="A24" s="191" t="s">
        <v>163</v>
      </c>
      <c r="B24" s="192">
        <v>2024</v>
      </c>
      <c r="C24" s="295">
        <f t="shared" ref="C24:H24" si="0">C23</f>
        <v>16.876666666666669</v>
      </c>
      <c r="D24" s="295">
        <f t="shared" si="0"/>
        <v>23.907792207792209</v>
      </c>
      <c r="E24" s="295">
        <f t="shared" si="0"/>
        <v>19.502617801047119</v>
      </c>
      <c r="F24" s="295">
        <f t="shared" si="0"/>
        <v>16.088000000000001</v>
      </c>
      <c r="G24" s="295">
        <f t="shared" si="0"/>
        <v>27.266666666666666</v>
      </c>
      <c r="H24" s="295">
        <f t="shared" si="0"/>
        <v>22.507462686567166</v>
      </c>
      <c r="I24" s="169"/>
      <c r="J24" s="170"/>
      <c r="K24" s="169"/>
      <c r="L24" s="169"/>
      <c r="M24" s="171"/>
      <c r="N24" s="171"/>
      <c r="O24" s="171"/>
      <c r="P24" s="171"/>
      <c r="Q24" s="171"/>
      <c r="R24" s="171"/>
      <c r="S24" s="171"/>
    </row>
    <row r="25" spans="1:19" ht="90" x14ac:dyDescent="0.25">
      <c r="A25" s="193" t="s">
        <v>195</v>
      </c>
      <c r="B25" s="192">
        <v>2024</v>
      </c>
      <c r="C25" s="169">
        <f>517/30</f>
        <v>17.233333333333334</v>
      </c>
      <c r="D25" s="169">
        <f>1879.8/77</f>
        <v>24.412987012987013</v>
      </c>
      <c r="E25" s="169">
        <f>380.5/19.1</f>
        <v>19.921465968586386</v>
      </c>
      <c r="F25" s="169">
        <f>821.3/50</f>
        <v>16.425999999999998</v>
      </c>
      <c r="G25" s="169">
        <f>209.2/7.5</f>
        <v>27.893333333333331</v>
      </c>
      <c r="H25" s="169">
        <f>307.9/13.4</f>
        <v>22.977611940298505</v>
      </c>
      <c r="I25" s="169"/>
      <c r="J25" s="169"/>
      <c r="K25" s="169">
        <f t="shared" ref="K25:S25" si="1">K31:Z31</f>
        <v>0</v>
      </c>
      <c r="L25" s="169">
        <f t="shared" si="1"/>
        <v>0</v>
      </c>
      <c r="M25" s="169">
        <f t="shared" si="1"/>
        <v>0</v>
      </c>
      <c r="N25" s="169">
        <f t="shared" si="1"/>
        <v>0</v>
      </c>
      <c r="O25" s="169">
        <f t="shared" si="1"/>
        <v>0</v>
      </c>
      <c r="P25" s="169">
        <f t="shared" si="1"/>
        <v>0</v>
      </c>
      <c r="Q25" s="169">
        <f t="shared" si="1"/>
        <v>0</v>
      </c>
      <c r="R25" s="169">
        <f t="shared" si="1"/>
        <v>0</v>
      </c>
      <c r="S25" s="169">
        <f t="shared" si="1"/>
        <v>0</v>
      </c>
    </row>
    <row r="26" spans="1:19" x14ac:dyDescent="0.25">
      <c r="A26" s="191" t="s">
        <v>164</v>
      </c>
      <c r="B26" s="192">
        <v>2024</v>
      </c>
      <c r="C26" s="169">
        <f>546.3/30</f>
        <v>18.209999999999997</v>
      </c>
      <c r="D26" s="169">
        <f>1986.1/77</f>
        <v>25.793506493506491</v>
      </c>
      <c r="E26" s="169">
        <f>268.1/19.1</f>
        <v>14.036649214659686</v>
      </c>
      <c r="F26" s="169">
        <f>868.1/50</f>
        <v>17.362000000000002</v>
      </c>
      <c r="G26" s="169">
        <f>220.5/7.5</f>
        <v>29.4</v>
      </c>
      <c r="H26" s="169">
        <f>216.4/8.9</f>
        <v>24.314606741573034</v>
      </c>
      <c r="I26" s="169"/>
      <c r="J26" s="170"/>
      <c r="K26" s="169"/>
      <c r="L26" s="169"/>
      <c r="M26" s="171"/>
      <c r="N26" s="171"/>
      <c r="O26" s="171"/>
      <c r="P26" s="171"/>
      <c r="Q26" s="171"/>
      <c r="R26" s="171"/>
      <c r="S26" s="171"/>
    </row>
    <row r="27" spans="1:19" x14ac:dyDescent="0.25">
      <c r="A27" s="191" t="s">
        <v>165</v>
      </c>
      <c r="B27" s="192">
        <v>2024</v>
      </c>
      <c r="C27" s="295">
        <f t="shared" ref="C27:H27" si="2">C28</f>
        <v>23.256666666666668</v>
      </c>
      <c r="D27" s="295">
        <f t="shared" si="2"/>
        <v>32.970129870129867</v>
      </c>
      <c r="E27" s="295">
        <f t="shared" si="2"/>
        <v>26.900523560209418</v>
      </c>
      <c r="F27" s="295">
        <f t="shared" si="2"/>
        <v>22.181999999999999</v>
      </c>
      <c r="G27" s="295">
        <f t="shared" si="2"/>
        <v>37.64</v>
      </c>
      <c r="H27" s="295">
        <f t="shared" si="2"/>
        <v>31.029850746268657</v>
      </c>
      <c r="I27" s="169"/>
      <c r="J27" s="170"/>
      <c r="K27" s="169"/>
      <c r="L27" s="169"/>
      <c r="M27" s="171"/>
      <c r="N27" s="171"/>
      <c r="O27" s="171"/>
      <c r="P27" s="171"/>
      <c r="Q27" s="171"/>
      <c r="R27" s="171"/>
      <c r="S27" s="171"/>
    </row>
    <row r="28" spans="1:19" x14ac:dyDescent="0.25">
      <c r="A28" s="191" t="s">
        <v>166</v>
      </c>
      <c r="B28" s="192">
        <v>2024</v>
      </c>
      <c r="C28" s="169">
        <f>697.7/30</f>
        <v>23.256666666666668</v>
      </c>
      <c r="D28" s="169">
        <f>2538.7/77</f>
        <v>32.970129870129867</v>
      </c>
      <c r="E28" s="169">
        <f>513.8/19.1</f>
        <v>26.900523560209418</v>
      </c>
      <c r="F28" s="169">
        <f>1109.1/50</f>
        <v>22.181999999999999</v>
      </c>
      <c r="G28" s="169">
        <f>282.3/7.5</f>
        <v>37.64</v>
      </c>
      <c r="H28" s="169">
        <f>415.8/13.4</f>
        <v>31.029850746268657</v>
      </c>
      <c r="I28" s="169"/>
      <c r="J28" s="170"/>
      <c r="K28" s="169"/>
      <c r="L28" s="169"/>
      <c r="M28" s="171"/>
      <c r="N28" s="171"/>
      <c r="O28" s="171"/>
      <c r="P28" s="171"/>
      <c r="Q28" s="171"/>
      <c r="R28" s="171"/>
      <c r="S28" s="171"/>
    </row>
    <row r="29" spans="1:19" ht="105" x14ac:dyDescent="0.25">
      <c r="A29" s="193" t="s">
        <v>167</v>
      </c>
      <c r="B29" s="192">
        <v>2024</v>
      </c>
      <c r="C29" s="169">
        <f>698.1/30</f>
        <v>23.27</v>
      </c>
      <c r="D29" s="169">
        <f>2538.7/77</f>
        <v>32.970129870129867</v>
      </c>
      <c r="E29" s="169">
        <f>395.3/19.1</f>
        <v>20.69633507853403</v>
      </c>
      <c r="F29" s="169">
        <f>1109.2/50</f>
        <v>22.184000000000001</v>
      </c>
      <c r="G29" s="169">
        <f>282.4/7.5</f>
        <v>37.653333333333329</v>
      </c>
      <c r="H29" s="169">
        <f>319.8/13.4</f>
        <v>23.865671641791046</v>
      </c>
      <c r="I29" s="169"/>
      <c r="J29" s="170"/>
      <c r="K29" s="169"/>
      <c r="L29" s="169"/>
      <c r="M29" s="171"/>
      <c r="N29" s="171"/>
      <c r="O29" s="171"/>
      <c r="P29" s="171"/>
      <c r="Q29" s="171"/>
      <c r="R29" s="171"/>
      <c r="S29" s="171"/>
    </row>
    <row r="30" spans="1:19" x14ac:dyDescent="0.25">
      <c r="A30" s="164" t="s">
        <v>115</v>
      </c>
      <c r="B30" s="165">
        <v>2023</v>
      </c>
      <c r="C30" s="166"/>
      <c r="D30" s="166"/>
      <c r="E30" s="166"/>
      <c r="F30" s="166"/>
      <c r="G30" s="166"/>
      <c r="H30" s="166"/>
      <c r="I30" s="166"/>
      <c r="J30" s="167"/>
      <c r="K30" s="166"/>
      <c r="L30" s="166"/>
      <c r="M30" s="168"/>
      <c r="N30" s="168"/>
      <c r="O30" s="168"/>
      <c r="P30" s="168"/>
      <c r="Q30" s="168"/>
      <c r="R30" s="168"/>
      <c r="S30" s="168"/>
    </row>
    <row r="31" spans="1:19" x14ac:dyDescent="0.25">
      <c r="A31" s="191" t="s">
        <v>115</v>
      </c>
      <c r="B31" s="192">
        <v>2024</v>
      </c>
      <c r="C31" s="169"/>
      <c r="D31" s="169"/>
      <c r="E31" s="169"/>
      <c r="F31" s="169"/>
      <c r="G31" s="169"/>
      <c r="H31" s="169"/>
      <c r="I31" s="169"/>
      <c r="J31" s="170"/>
      <c r="K31" s="169"/>
      <c r="L31" s="169"/>
      <c r="M31" s="171"/>
      <c r="N31" s="171"/>
      <c r="O31" s="171"/>
      <c r="P31" s="171"/>
      <c r="Q31" s="171"/>
      <c r="R31" s="171"/>
      <c r="S31" s="171"/>
    </row>
    <row r="32" spans="1:19" x14ac:dyDescent="0.25">
      <c r="A32" s="164" t="s">
        <v>116</v>
      </c>
      <c r="B32" s="165">
        <v>2023</v>
      </c>
      <c r="C32" s="166">
        <v>17.632999999999999</v>
      </c>
      <c r="D32" s="166">
        <v>24.978000000000002</v>
      </c>
      <c r="E32" s="166">
        <v>20.384</v>
      </c>
      <c r="F32" s="166">
        <v>16.808</v>
      </c>
      <c r="G32" s="166">
        <v>31.92</v>
      </c>
      <c r="H32" s="166"/>
      <c r="I32" s="166">
        <v>28.472999999999999</v>
      </c>
      <c r="J32" s="167">
        <v>31.92</v>
      </c>
      <c r="K32" s="166"/>
      <c r="L32" s="166"/>
      <c r="M32" s="168"/>
      <c r="N32" s="168"/>
      <c r="O32" s="168"/>
      <c r="P32" s="168"/>
      <c r="Q32" s="168"/>
      <c r="R32" s="168"/>
      <c r="S32" s="168"/>
    </row>
    <row r="33" spans="1:19" x14ac:dyDescent="0.25">
      <c r="A33" s="191" t="s">
        <v>116</v>
      </c>
      <c r="B33" s="192">
        <v>2024</v>
      </c>
      <c r="C33" s="169">
        <v>18.513999999999999</v>
      </c>
      <c r="D33" s="169">
        <v>26.227</v>
      </c>
      <c r="E33" s="169">
        <v>21.402999999999999</v>
      </c>
      <c r="F33" s="169">
        <v>17.648</v>
      </c>
      <c r="G33" s="169">
        <v>0</v>
      </c>
      <c r="H33" s="169">
        <v>0</v>
      </c>
      <c r="I33" s="169">
        <v>29.896999999999998</v>
      </c>
      <c r="J33" s="170">
        <v>33.515999999999998</v>
      </c>
      <c r="K33" s="169"/>
      <c r="L33" s="169"/>
      <c r="M33" s="171"/>
      <c r="N33" s="171"/>
      <c r="O33" s="171"/>
      <c r="P33" s="171"/>
      <c r="Q33" s="171"/>
      <c r="R33" s="171"/>
      <c r="S33" s="171"/>
    </row>
    <row r="34" spans="1:19" x14ac:dyDescent="0.25">
      <c r="A34" s="164" t="s">
        <v>219</v>
      </c>
      <c r="B34" s="165">
        <v>2023</v>
      </c>
      <c r="C34" s="166">
        <v>17.43</v>
      </c>
      <c r="D34" s="166">
        <v>24.78</v>
      </c>
      <c r="E34" s="166">
        <v>20.059999999999999</v>
      </c>
      <c r="F34" s="166">
        <v>16.7</v>
      </c>
      <c r="G34" s="166">
        <v>0</v>
      </c>
      <c r="H34" s="166">
        <v>23.37</v>
      </c>
      <c r="I34" s="166"/>
      <c r="J34" s="167"/>
      <c r="K34" s="166"/>
      <c r="L34" s="166"/>
      <c r="M34" s="168"/>
      <c r="N34" s="168"/>
      <c r="O34" s="168"/>
      <c r="P34" s="168"/>
      <c r="Q34" s="168"/>
      <c r="R34" s="168"/>
      <c r="S34" s="168"/>
    </row>
    <row r="35" spans="1:19" x14ac:dyDescent="0.25">
      <c r="A35" s="191" t="s">
        <v>219</v>
      </c>
      <c r="B35" s="192">
        <v>2024</v>
      </c>
      <c r="C35" s="169">
        <f>519.2/30</f>
        <v>17.306666666666668</v>
      </c>
      <c r="D35" s="169">
        <f>1887.1/77</f>
        <v>24.507792207792207</v>
      </c>
      <c r="E35" s="169">
        <f>254.5/19.1</f>
        <v>13.32460732984293</v>
      </c>
      <c r="F35" s="169">
        <f>824.6/50</f>
        <v>16.492000000000001</v>
      </c>
      <c r="G35" s="169">
        <f>209.6/7.5</f>
        <v>27.946666666666665</v>
      </c>
      <c r="H35" s="169">
        <f>205.4/13.4</f>
        <v>15.328358208955224</v>
      </c>
      <c r="I35" s="169"/>
      <c r="J35" s="170"/>
      <c r="K35" s="169"/>
      <c r="L35" s="169"/>
      <c r="M35" s="171"/>
      <c r="N35" s="171"/>
      <c r="O35" s="171"/>
      <c r="P35" s="171"/>
      <c r="Q35" s="171"/>
      <c r="R35" s="171"/>
      <c r="S35" s="171"/>
    </row>
    <row r="36" spans="1:19" x14ac:dyDescent="0.25">
      <c r="A36" s="164" t="s">
        <v>168</v>
      </c>
      <c r="B36" s="165">
        <v>2023</v>
      </c>
      <c r="C36" s="266">
        <v>17.09</v>
      </c>
      <c r="D36" s="166">
        <v>24.216531051886498</v>
      </c>
      <c r="E36" s="166">
        <v>13.178010471204187</v>
      </c>
      <c r="F36" s="166">
        <v>16.297999999999998</v>
      </c>
      <c r="G36" s="166">
        <v>27.6</v>
      </c>
      <c r="H36" s="166">
        <v>14.970149253731343</v>
      </c>
      <c r="I36" s="166"/>
      <c r="J36" s="167"/>
      <c r="K36" s="166"/>
      <c r="L36" s="166"/>
      <c r="M36" s="168"/>
      <c r="N36" s="168"/>
      <c r="O36" s="168"/>
      <c r="P36" s="168"/>
      <c r="Q36" s="168"/>
      <c r="R36" s="168"/>
      <c r="S36" s="168"/>
    </row>
    <row r="37" spans="1:19" x14ac:dyDescent="0.25">
      <c r="A37" s="191" t="s">
        <v>168</v>
      </c>
      <c r="B37" s="192">
        <v>2024</v>
      </c>
      <c r="C37" s="267">
        <f>535.8/30</f>
        <v>17.86</v>
      </c>
      <c r="D37" s="169">
        <f>C37/C36*D36</f>
        <v>25.307621099279864</v>
      </c>
      <c r="E37" s="169">
        <f>263/19.1</f>
        <v>13.769633507853403</v>
      </c>
      <c r="F37" s="169">
        <f>851.6/50</f>
        <v>17.032</v>
      </c>
      <c r="G37" s="169"/>
      <c r="H37" s="169">
        <f>206.6/13.4</f>
        <v>15.417910447761193</v>
      </c>
      <c r="I37" s="169"/>
      <c r="J37" s="170"/>
      <c r="K37" s="169"/>
      <c r="L37" s="169"/>
      <c r="M37" s="171"/>
      <c r="N37" s="171"/>
      <c r="O37" s="171"/>
      <c r="P37" s="171"/>
      <c r="Q37" s="171"/>
      <c r="R37" s="171"/>
      <c r="S37" s="171"/>
    </row>
    <row r="38" spans="1:19" x14ac:dyDescent="0.25">
      <c r="A38" s="164" t="s">
        <v>169</v>
      </c>
      <c r="B38" s="165">
        <v>2023</v>
      </c>
      <c r="C38" s="266">
        <v>17.45</v>
      </c>
      <c r="D38" s="166">
        <v>24.56753246753247</v>
      </c>
      <c r="E38" s="166">
        <v>19.840413265394016</v>
      </c>
      <c r="F38" s="166">
        <v>16.532</v>
      </c>
      <c r="G38" s="166">
        <v>28.181333333333335</v>
      </c>
      <c r="H38" s="166">
        <v>20.544776119402986</v>
      </c>
      <c r="I38" s="166"/>
      <c r="J38" s="167"/>
      <c r="K38" s="166"/>
      <c r="L38" s="166"/>
      <c r="M38" s="168"/>
      <c r="N38" s="168"/>
      <c r="O38" s="168"/>
      <c r="P38" s="168"/>
      <c r="Q38" s="168"/>
      <c r="R38" s="168"/>
      <c r="S38" s="168"/>
    </row>
    <row r="39" spans="1:19" x14ac:dyDescent="0.25">
      <c r="A39" s="191" t="s">
        <v>169</v>
      </c>
      <c r="B39" s="192">
        <v>2024</v>
      </c>
      <c r="C39" s="267">
        <f>549.7/30</f>
        <v>18.323333333333334</v>
      </c>
      <c r="D39" s="169">
        <f>1986.3/77</f>
        <v>25.796103896103894</v>
      </c>
      <c r="E39" s="169">
        <f>347.2/19.1</f>
        <v>18.178010471204185</v>
      </c>
      <c r="F39" s="169">
        <v>17.36</v>
      </c>
      <c r="G39" s="169"/>
      <c r="H39" s="169">
        <f>280.8/13.4</f>
        <v>20.955223880597014</v>
      </c>
      <c r="I39" s="169"/>
      <c r="J39" s="170"/>
      <c r="K39" s="169"/>
      <c r="L39" s="169"/>
      <c r="M39" s="171"/>
      <c r="N39" s="171"/>
      <c r="O39" s="171"/>
      <c r="P39" s="171"/>
      <c r="Q39" s="171"/>
      <c r="R39" s="171"/>
      <c r="S39" s="171"/>
    </row>
    <row r="40" spans="1:19" x14ac:dyDescent="0.25">
      <c r="A40" s="164" t="s">
        <v>170</v>
      </c>
      <c r="B40" s="165">
        <v>2023</v>
      </c>
      <c r="C40" s="266">
        <v>16.678999999999998</v>
      </c>
      <c r="D40" s="166">
        <v>23.626999999999999</v>
      </c>
      <c r="E40" s="166">
        <v>19.280999999999999</v>
      </c>
      <c r="F40" s="166">
        <v>15.898</v>
      </c>
      <c r="G40" s="166">
        <v>0</v>
      </c>
      <c r="H40" s="166">
        <v>22.236999999999998</v>
      </c>
      <c r="I40" s="166">
        <v>26.931999999999999</v>
      </c>
      <c r="J40" s="167">
        <v>30.193000000000001</v>
      </c>
      <c r="K40" s="166"/>
      <c r="L40" s="166"/>
      <c r="M40" s="168"/>
      <c r="N40" s="168"/>
      <c r="O40" s="168"/>
      <c r="P40" s="168"/>
      <c r="Q40" s="168"/>
      <c r="R40" s="168"/>
      <c r="S40" s="168"/>
    </row>
    <row r="41" spans="1:19" x14ac:dyDescent="0.25">
      <c r="A41" s="191" t="s">
        <v>170</v>
      </c>
      <c r="B41" s="192">
        <v>2024</v>
      </c>
      <c r="C41" s="267">
        <v>17.579000000000001</v>
      </c>
      <c r="D41" s="169">
        <v>24.902000000000001</v>
      </c>
      <c r="E41" s="169">
        <v>20.321999999999999</v>
      </c>
      <c r="F41" s="169">
        <v>16.757000000000001</v>
      </c>
      <c r="G41" s="169">
        <v>0</v>
      </c>
      <c r="H41" s="169">
        <v>23.437999999999999</v>
      </c>
      <c r="I41" s="169">
        <v>28.387</v>
      </c>
      <c r="J41" s="170">
        <v>31.823</v>
      </c>
      <c r="K41" s="169"/>
      <c r="L41" s="169"/>
      <c r="M41" s="171"/>
      <c r="N41" s="171"/>
      <c r="O41" s="171"/>
      <c r="P41" s="171"/>
      <c r="Q41" s="171"/>
      <c r="R41" s="171"/>
      <c r="S41" s="171"/>
    </row>
    <row r="42" spans="1:19" x14ac:dyDescent="0.25">
      <c r="A42" s="164" t="s">
        <v>171</v>
      </c>
      <c r="B42" s="165">
        <v>2023</v>
      </c>
      <c r="C42" s="266">
        <v>63.982999999999997</v>
      </c>
      <c r="D42" s="173"/>
      <c r="E42" s="173"/>
      <c r="F42" s="173"/>
      <c r="G42" s="173"/>
      <c r="H42" s="173"/>
      <c r="I42" s="173"/>
      <c r="J42" s="167"/>
      <c r="K42" s="174">
        <v>54.592568799683171</v>
      </c>
      <c r="L42" s="174">
        <v>54.277453658732945</v>
      </c>
      <c r="M42" s="194">
        <v>1112676.9217453124</v>
      </c>
      <c r="N42" s="194">
        <v>155</v>
      </c>
      <c r="O42" s="194">
        <v>282</v>
      </c>
      <c r="P42" s="194">
        <v>267</v>
      </c>
      <c r="Q42" s="194">
        <v>462</v>
      </c>
      <c r="R42" s="194">
        <v>447</v>
      </c>
      <c r="S42" s="194"/>
    </row>
    <row r="43" spans="1:19" x14ac:dyDescent="0.25">
      <c r="A43" s="191" t="s">
        <v>171</v>
      </c>
      <c r="B43" s="192">
        <v>2024</v>
      </c>
      <c r="C43" s="239">
        <f>C42*1.065</f>
        <v>68.141894999999991</v>
      </c>
      <c r="D43" s="195"/>
      <c r="E43" s="195"/>
      <c r="F43" s="195"/>
      <c r="G43" s="195"/>
      <c r="H43" s="195"/>
      <c r="I43" s="195"/>
      <c r="J43" s="170"/>
      <c r="K43" s="175">
        <f>($M43/$N43+O43*$C43)/Q43</f>
        <v>57.13111509838447</v>
      </c>
      <c r="L43" s="175">
        <f>($M43/$N43+P43*$C43)/R43</f>
        <v>56.761625839940997</v>
      </c>
      <c r="M43" s="196">
        <f>675300*1.15*1.125*1.125*1.07*1.058</f>
        <v>1112676.9217453124</v>
      </c>
      <c r="N43" s="294">
        <v>155</v>
      </c>
      <c r="O43" s="294">
        <v>282</v>
      </c>
      <c r="P43" s="294">
        <v>267</v>
      </c>
      <c r="Q43" s="294">
        <v>462</v>
      </c>
      <c r="R43" s="294">
        <v>447</v>
      </c>
      <c r="S43" s="171"/>
    </row>
    <row r="44" spans="1:19" x14ac:dyDescent="0.25">
      <c r="A44" s="164" t="s">
        <v>172</v>
      </c>
      <c r="B44" s="165">
        <v>2023</v>
      </c>
      <c r="C44" s="266">
        <v>55.015999999999998</v>
      </c>
      <c r="D44" s="173"/>
      <c r="E44" s="173"/>
      <c r="F44" s="173"/>
      <c r="G44" s="173"/>
      <c r="H44" s="173"/>
      <c r="I44" s="173"/>
      <c r="J44" s="167"/>
      <c r="K44" s="166"/>
      <c r="L44" s="166"/>
      <c r="M44" s="168"/>
      <c r="N44" s="168"/>
      <c r="O44" s="168"/>
      <c r="P44" s="168"/>
      <c r="Q44" s="168"/>
      <c r="R44" s="168"/>
      <c r="S44" s="168"/>
    </row>
    <row r="45" spans="1:19" x14ac:dyDescent="0.25">
      <c r="A45" s="191" t="s">
        <v>172</v>
      </c>
      <c r="B45" s="192">
        <v>2024</v>
      </c>
      <c r="C45" s="239">
        <f>C44*1.065</f>
        <v>58.592039999999997</v>
      </c>
      <c r="D45" s="195"/>
      <c r="E45" s="195"/>
      <c r="F45" s="195"/>
      <c r="G45" s="195"/>
      <c r="H45" s="195"/>
      <c r="I45" s="195"/>
      <c r="J45" s="170"/>
      <c r="K45" s="169"/>
      <c r="L45" s="169"/>
      <c r="M45" s="171"/>
      <c r="N45" s="171"/>
      <c r="O45" s="171"/>
      <c r="P45" s="171"/>
      <c r="Q45" s="171"/>
      <c r="R45" s="171"/>
      <c r="S45" s="171"/>
    </row>
    <row r="46" spans="1:19" x14ac:dyDescent="0.25">
      <c r="A46" s="164" t="s">
        <v>173</v>
      </c>
      <c r="B46" s="165">
        <v>2023</v>
      </c>
      <c r="C46" s="266">
        <v>50.256999999999998</v>
      </c>
      <c r="D46" s="173"/>
      <c r="E46" s="173"/>
      <c r="F46" s="173"/>
      <c r="G46" s="173"/>
      <c r="H46" s="173"/>
      <c r="I46" s="173"/>
      <c r="J46" s="167"/>
      <c r="K46" s="174">
        <v>46.214361007475389</v>
      </c>
      <c r="L46" s="174">
        <v>46.078701980880595</v>
      </c>
      <c r="M46" s="194">
        <v>1112676.9217453124</v>
      </c>
      <c r="N46" s="194">
        <v>155</v>
      </c>
      <c r="O46" s="194">
        <v>282</v>
      </c>
      <c r="P46" s="194">
        <v>267</v>
      </c>
      <c r="Q46" s="194">
        <v>462</v>
      </c>
      <c r="R46" s="194">
        <v>447</v>
      </c>
      <c r="S46" s="194"/>
    </row>
    <row r="47" spans="1:19" x14ac:dyDescent="0.25">
      <c r="A47" s="191" t="s">
        <v>173</v>
      </c>
      <c r="B47" s="192">
        <v>2024</v>
      </c>
      <c r="C47" s="239">
        <f>C46*1.065</f>
        <v>53.523704999999993</v>
      </c>
      <c r="D47" s="195"/>
      <c r="E47" s="195"/>
      <c r="F47" s="195"/>
      <c r="G47" s="195"/>
      <c r="H47" s="195"/>
      <c r="I47" s="195"/>
      <c r="J47" s="170"/>
      <c r="K47" s="175">
        <f>($M47/$N47+O47*$C47)/Q47</f>
        <v>48.208323799683178</v>
      </c>
      <c r="L47" s="175">
        <f>($M47/$N47+P47*$C47)/R47</f>
        <v>48.029955303028245</v>
      </c>
      <c r="M47" s="294">
        <f>M43</f>
        <v>1112676.9217453124</v>
      </c>
      <c r="N47" s="294">
        <v>155</v>
      </c>
      <c r="O47" s="294">
        <v>282</v>
      </c>
      <c r="P47" s="294">
        <v>267</v>
      </c>
      <c r="Q47" s="294">
        <v>462</v>
      </c>
      <c r="R47" s="294">
        <v>447</v>
      </c>
      <c r="S47" s="171"/>
    </row>
    <row r="48" spans="1:19" x14ac:dyDescent="0.25">
      <c r="A48" s="180"/>
      <c r="B48" s="181"/>
      <c r="C48" s="182"/>
      <c r="D48" s="182"/>
      <c r="E48" s="182"/>
      <c r="F48" s="182"/>
      <c r="G48" s="182"/>
      <c r="H48" s="182"/>
      <c r="I48" s="182"/>
      <c r="J48" s="197"/>
      <c r="K48" s="183"/>
      <c r="L48" s="183"/>
      <c r="M48" s="198"/>
      <c r="N48" s="198"/>
      <c r="O48" s="198"/>
      <c r="P48" s="198"/>
      <c r="Q48" s="198"/>
      <c r="R48" s="198"/>
      <c r="S48" s="198"/>
    </row>
    <row r="49" spans="1:19" x14ac:dyDescent="0.25">
      <c r="A49" s="164" t="s">
        <v>187</v>
      </c>
      <c r="B49" s="165">
        <v>2023</v>
      </c>
      <c r="C49" s="166"/>
      <c r="D49" s="166"/>
      <c r="E49" s="166"/>
      <c r="F49" s="166"/>
      <c r="G49" s="166"/>
      <c r="H49" s="166"/>
      <c r="I49" s="173"/>
      <c r="J49" s="167"/>
      <c r="K49" s="166"/>
      <c r="L49" s="166"/>
      <c r="M49" s="168"/>
      <c r="N49" s="168"/>
      <c r="O49" s="168"/>
      <c r="P49" s="168"/>
      <c r="Q49" s="168"/>
      <c r="R49" s="168"/>
      <c r="S49" s="168"/>
    </row>
    <row r="50" spans="1:19" x14ac:dyDescent="0.25">
      <c r="A50" s="191" t="s">
        <v>187</v>
      </c>
      <c r="B50" s="192">
        <v>2024</v>
      </c>
      <c r="C50" s="169"/>
      <c r="D50" s="169"/>
      <c r="E50" s="169"/>
      <c r="F50" s="169"/>
      <c r="G50" s="169"/>
      <c r="H50" s="169"/>
      <c r="I50" s="195"/>
      <c r="J50" s="170"/>
      <c r="K50" s="169"/>
      <c r="L50" s="169"/>
      <c r="M50" s="171"/>
      <c r="N50" s="171"/>
      <c r="O50" s="171"/>
      <c r="P50" s="171"/>
      <c r="Q50" s="171"/>
      <c r="R50" s="171"/>
      <c r="S50" s="171"/>
    </row>
    <row r="51" spans="1:19" x14ac:dyDescent="0.25">
      <c r="A51" s="164" t="s">
        <v>188</v>
      </c>
      <c r="B51" s="165">
        <v>2023</v>
      </c>
      <c r="C51" s="166"/>
      <c r="D51" s="166"/>
      <c r="E51" s="166"/>
      <c r="F51" s="166"/>
      <c r="G51" s="166"/>
      <c r="H51" s="166"/>
      <c r="I51" s="173"/>
      <c r="J51" s="167"/>
      <c r="K51" s="166"/>
      <c r="L51" s="166"/>
      <c r="M51" s="168"/>
      <c r="N51" s="168"/>
      <c r="O51" s="168"/>
      <c r="P51" s="168"/>
      <c r="Q51" s="168"/>
      <c r="R51" s="168"/>
      <c r="S51" s="168"/>
    </row>
    <row r="52" spans="1:19" x14ac:dyDescent="0.25">
      <c r="A52" s="191" t="s">
        <v>188</v>
      </c>
      <c r="B52" s="192">
        <v>2024</v>
      </c>
      <c r="C52" s="169"/>
      <c r="D52" s="169"/>
      <c r="E52" s="169"/>
      <c r="F52" s="169"/>
      <c r="G52" s="169"/>
      <c r="H52" s="169"/>
      <c r="I52" s="195"/>
      <c r="J52" s="170"/>
      <c r="K52" s="169"/>
      <c r="L52" s="169"/>
      <c r="M52" s="171"/>
      <c r="N52" s="171"/>
      <c r="O52" s="171"/>
      <c r="P52" s="171"/>
      <c r="Q52" s="171"/>
      <c r="R52" s="171"/>
      <c r="S52" s="171"/>
    </row>
    <row r="53" spans="1:19" x14ac:dyDescent="0.25">
      <c r="A53" s="164" t="s">
        <v>189</v>
      </c>
      <c r="B53" s="165">
        <v>2023</v>
      </c>
      <c r="C53" s="166"/>
      <c r="D53" s="166"/>
      <c r="E53" s="166"/>
      <c r="F53" s="166"/>
      <c r="G53" s="166"/>
      <c r="H53" s="166"/>
      <c r="I53" s="173"/>
      <c r="J53" s="167"/>
      <c r="K53" s="166"/>
      <c r="L53" s="166"/>
      <c r="M53" s="168"/>
      <c r="N53" s="168"/>
      <c r="O53" s="168"/>
      <c r="P53" s="168"/>
      <c r="Q53" s="168"/>
      <c r="R53" s="168"/>
      <c r="S53" s="168">
        <v>15.337</v>
      </c>
    </row>
    <row r="54" spans="1:19" x14ac:dyDescent="0.25">
      <c r="A54" s="191" t="s">
        <v>189</v>
      </c>
      <c r="B54" s="192">
        <v>2024</v>
      </c>
      <c r="C54" s="169"/>
      <c r="D54" s="169"/>
      <c r="E54" s="169"/>
      <c r="F54" s="169"/>
      <c r="G54" s="169"/>
      <c r="H54" s="169"/>
      <c r="I54" s="195"/>
      <c r="J54" s="170"/>
      <c r="K54" s="169"/>
      <c r="L54" s="169"/>
      <c r="M54" s="171"/>
      <c r="N54" s="171"/>
      <c r="O54" s="171"/>
      <c r="P54" s="171"/>
      <c r="Q54" s="171"/>
      <c r="R54" s="171"/>
      <c r="S54" s="169">
        <f>484/30</f>
        <v>16.133333333333333</v>
      </c>
    </row>
    <row r="55" spans="1:19" x14ac:dyDescent="0.25">
      <c r="A55" s="164" t="s">
        <v>190</v>
      </c>
      <c r="B55" s="165">
        <v>2023</v>
      </c>
      <c r="C55" s="166"/>
      <c r="D55" s="166"/>
      <c r="E55" s="166"/>
      <c r="F55" s="166"/>
      <c r="G55" s="166"/>
      <c r="H55" s="166"/>
      <c r="I55" s="173"/>
      <c r="J55" s="167"/>
      <c r="K55" s="166"/>
      <c r="L55" s="166"/>
      <c r="M55" s="168"/>
      <c r="N55" s="168"/>
      <c r="O55" s="168"/>
      <c r="P55" s="168"/>
      <c r="Q55" s="168"/>
      <c r="R55" s="168"/>
      <c r="S55" s="168">
        <v>16.34</v>
      </c>
    </row>
    <row r="56" spans="1:19" x14ac:dyDescent="0.25">
      <c r="A56" s="191" t="s">
        <v>190</v>
      </c>
      <c r="B56" s="192">
        <v>2024</v>
      </c>
      <c r="C56" s="169"/>
      <c r="D56" s="169"/>
      <c r="E56" s="169"/>
      <c r="F56" s="169"/>
      <c r="G56" s="169"/>
      <c r="H56" s="169"/>
      <c r="I56" s="195"/>
      <c r="J56" s="170"/>
      <c r="K56" s="169"/>
      <c r="L56" s="169"/>
      <c r="M56" s="171"/>
      <c r="N56" s="171"/>
      <c r="O56" s="171"/>
      <c r="P56" s="171"/>
      <c r="Q56" s="171"/>
      <c r="R56" s="171"/>
      <c r="S56" s="169">
        <f>515.7/30</f>
        <v>17.190000000000001</v>
      </c>
    </row>
    <row r="57" spans="1:19" x14ac:dyDescent="0.25">
      <c r="A57" s="184"/>
      <c r="B57" s="185"/>
      <c r="C57" s="186"/>
      <c r="D57" s="186"/>
      <c r="E57" s="186"/>
      <c r="F57" s="186"/>
      <c r="G57" s="186"/>
      <c r="H57" s="186"/>
      <c r="I57" s="186"/>
      <c r="J57" s="199"/>
      <c r="K57" s="187"/>
      <c r="L57" s="187"/>
      <c r="M57" s="200"/>
      <c r="N57" s="200"/>
      <c r="O57" s="200"/>
      <c r="P57" s="200"/>
      <c r="Q57" s="200"/>
      <c r="R57" s="200"/>
      <c r="S57" s="200"/>
    </row>
    <row r="58" spans="1:19" ht="45" x14ac:dyDescent="0.25">
      <c r="A58" s="172" t="s">
        <v>196</v>
      </c>
      <c r="B58" s="165">
        <v>2023</v>
      </c>
      <c r="C58" s="166">
        <v>22.086666666666666</v>
      </c>
      <c r="D58" s="166">
        <v>24.062337662337661</v>
      </c>
      <c r="E58" s="166">
        <v>19.633507853403138</v>
      </c>
      <c r="F58" s="166">
        <v>21.05</v>
      </c>
      <c r="G58" s="166">
        <v>27.466666666666665</v>
      </c>
      <c r="H58" s="166">
        <v>22.641791044776117</v>
      </c>
      <c r="I58" s="173"/>
      <c r="J58" s="167"/>
      <c r="K58" s="166"/>
      <c r="L58" s="166"/>
      <c r="M58" s="168"/>
      <c r="N58" s="168"/>
      <c r="O58" s="168"/>
      <c r="P58" s="168"/>
      <c r="Q58" s="168"/>
      <c r="R58" s="168"/>
      <c r="S58" s="168"/>
    </row>
    <row r="59" spans="1:19" ht="45" x14ac:dyDescent="0.25">
      <c r="A59" s="193" t="s">
        <v>196</v>
      </c>
      <c r="B59" s="192">
        <v>2024</v>
      </c>
      <c r="C59" s="169">
        <f>698.4/30</f>
        <v>23.279999999999998</v>
      </c>
      <c r="D59" s="169">
        <f>1952.9/77</f>
        <v>25.362337662337662</v>
      </c>
      <c r="E59" s="169">
        <f>395.3/19.1</f>
        <v>20.69633507853403</v>
      </c>
      <c r="F59" s="169">
        <f>1109.3/50</f>
        <v>22.186</v>
      </c>
      <c r="G59" s="169">
        <f>217.1/7.5</f>
        <v>28.946666666666665</v>
      </c>
      <c r="H59" s="169">
        <f>319.8/13.4</f>
        <v>23.865671641791046</v>
      </c>
      <c r="I59" s="195"/>
      <c r="J59" s="170"/>
      <c r="K59" s="169"/>
      <c r="L59" s="169"/>
      <c r="M59" s="171"/>
      <c r="N59" s="171"/>
      <c r="O59" s="171"/>
      <c r="P59" s="171"/>
      <c r="Q59" s="171"/>
      <c r="R59" s="171"/>
      <c r="S59" s="169"/>
    </row>
    <row r="60" spans="1:19" x14ac:dyDescent="0.25">
      <c r="A60" s="184"/>
      <c r="B60" s="185"/>
      <c r="C60" s="186"/>
      <c r="D60" s="186"/>
      <c r="E60" s="186"/>
      <c r="F60" s="186"/>
      <c r="G60" s="186"/>
      <c r="H60" s="186"/>
      <c r="I60" s="186"/>
      <c r="J60" s="199"/>
      <c r="K60" s="187"/>
      <c r="L60" s="187"/>
      <c r="M60" s="200"/>
      <c r="N60" s="200"/>
      <c r="O60" s="200"/>
      <c r="P60" s="200"/>
      <c r="Q60" s="200"/>
      <c r="R60" s="200"/>
      <c r="S60" s="200"/>
    </row>
    <row r="61" spans="1:19" x14ac:dyDescent="0.25">
      <c r="A61" s="164" t="s">
        <v>220</v>
      </c>
      <c r="B61" s="165">
        <v>2023</v>
      </c>
      <c r="C61" s="166">
        <v>16.71</v>
      </c>
      <c r="D61" s="166">
        <v>23.77</v>
      </c>
      <c r="E61" s="166">
        <v>19.25</v>
      </c>
      <c r="F61" s="166">
        <v>16.010000000000002</v>
      </c>
      <c r="G61" s="166">
        <v>0</v>
      </c>
      <c r="H61" s="166">
        <v>21.18</v>
      </c>
      <c r="I61" s="166"/>
      <c r="J61" s="167"/>
      <c r="K61" s="166"/>
      <c r="L61" s="166"/>
      <c r="M61" s="168"/>
      <c r="N61" s="168"/>
      <c r="O61" s="168"/>
      <c r="P61" s="168"/>
      <c r="Q61" s="168"/>
      <c r="R61" s="168"/>
      <c r="S61" s="168"/>
    </row>
    <row r="62" spans="1:19" x14ac:dyDescent="0.25">
      <c r="A62" s="191" t="s">
        <v>220</v>
      </c>
      <c r="B62" s="192">
        <v>2024</v>
      </c>
      <c r="C62" s="169"/>
      <c r="D62" s="169"/>
      <c r="E62" s="169"/>
      <c r="F62" s="169"/>
      <c r="G62" s="169"/>
      <c r="H62" s="169"/>
      <c r="I62" s="169"/>
      <c r="J62" s="170"/>
      <c r="K62" s="169"/>
      <c r="L62" s="169"/>
      <c r="M62" s="171"/>
      <c r="N62" s="171"/>
      <c r="O62" s="171"/>
      <c r="P62" s="171"/>
      <c r="Q62" s="171"/>
      <c r="R62" s="171"/>
      <c r="S62" s="171"/>
    </row>
    <row r="63" spans="1:19" x14ac:dyDescent="0.25">
      <c r="A63" s="164" t="s">
        <v>241</v>
      </c>
      <c r="B63" s="165">
        <v>2023</v>
      </c>
      <c r="C63" s="166">
        <v>17.125999999999998</v>
      </c>
      <c r="D63" s="166">
        <v>24.714025974025976</v>
      </c>
      <c r="E63" s="166">
        <v>14.412041884816752</v>
      </c>
      <c r="F63" s="166">
        <v>16.323</v>
      </c>
      <c r="G63" s="166">
        <v>30.776</v>
      </c>
      <c r="H63" s="166">
        <v>21.623595505617974</v>
      </c>
      <c r="I63" s="166"/>
      <c r="J63" s="167"/>
      <c r="K63" s="166"/>
      <c r="L63" s="166"/>
      <c r="M63" s="168"/>
      <c r="N63" s="168"/>
      <c r="O63" s="168"/>
      <c r="P63" s="168"/>
      <c r="Q63" s="168"/>
      <c r="R63" s="168"/>
      <c r="S63" s="168"/>
    </row>
    <row r="64" spans="1:19" x14ac:dyDescent="0.25">
      <c r="A64" s="191" t="s">
        <v>241</v>
      </c>
      <c r="B64" s="192">
        <v>2023</v>
      </c>
      <c r="C64" s="169">
        <v>18.07</v>
      </c>
      <c r="D64" s="169">
        <v>26.07</v>
      </c>
      <c r="E64" s="169"/>
      <c r="F64" s="169">
        <v>17.22</v>
      </c>
      <c r="G64" s="169"/>
      <c r="H64" s="169"/>
      <c r="I64" s="169"/>
      <c r="J64" s="170"/>
      <c r="K64" s="169"/>
      <c r="L64" s="169"/>
      <c r="M64" s="171"/>
      <c r="N64" s="171"/>
      <c r="O64" s="171"/>
      <c r="P64" s="171"/>
      <c r="Q64" s="171"/>
      <c r="R64" s="171"/>
      <c r="S64" s="171"/>
    </row>
  </sheetData>
  <sheetProtection algorithmName="SHA-512" hashValue="eikweB3EPdb1o+mk/vgu4cp7SwRW6HP6krnw+6NAdwCznu87l6rP3ZxXQY+AMbVwH9hDWM/Y+cp4Hw9boKocNw==" saltValue="bspUAUbmFVw9NY6SPWKRU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2023-02-06T12:28:57Z</cp:lastPrinted>
  <dcterms:created xsi:type="dcterms:W3CDTF">2007-01-02T12:57:15Z</dcterms:created>
  <dcterms:modified xsi:type="dcterms:W3CDTF">2024-03-25T13:06:09Z</dcterms:modified>
</cp:coreProperties>
</file>